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M:\PPP\FP\LDP\Community Infrastructure Levy (CIL)\Prelimary Draft Charging Schedule Consultation\"/>
    </mc:Choice>
  </mc:AlternateContent>
  <bookViews>
    <workbookView xWindow="0" yWindow="0" windowWidth="15360" windowHeight="8445" firstSheet="4" activeTab="10"/>
  </bookViews>
  <sheets>
    <sheet name="Garn-yr-Erw" sheetId="2" r:id="rId1"/>
    <sheet name="Hillside School" sheetId="1" r:id="rId2"/>
    <sheet name="Old Co-op" sheetId="3" r:id="rId3"/>
    <sheet name="Animal Pound" sheetId="4" r:id="rId4"/>
    <sheet name="Mamhilad - 1700" sheetId="5" r:id="rId5"/>
    <sheet name="Mamhilad - 1100" sheetId="11" r:id="rId6"/>
    <sheet name="South Sebastopol" sheetId="6" r:id="rId7"/>
    <sheet name="Police College" sheetId="7" r:id="rId8"/>
    <sheet name="Llanfrechfa Grange" sheetId="8" r:id="rId9"/>
    <sheet name="County Hall Police HQ" sheetId="9" r:id="rId10"/>
    <sheet name="Canalside" sheetId="10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0" l="1"/>
  <c r="O25" i="8"/>
  <c r="M27" i="10"/>
  <c r="C34" i="2"/>
  <c r="N23" i="6" l="1"/>
  <c r="P23" i="6" s="1"/>
  <c r="P24" i="6"/>
  <c r="P25" i="6"/>
  <c r="O23" i="6"/>
  <c r="N26" i="6" l="1"/>
  <c r="P26" i="6" s="1"/>
  <c r="N24" i="6" l="1"/>
  <c r="M24" i="6"/>
  <c r="X5" i="6"/>
  <c r="X10" i="6" s="1"/>
  <c r="X3" i="6"/>
  <c r="N25" i="6"/>
  <c r="C37" i="6"/>
  <c r="M25" i="6"/>
  <c r="X9" i="6"/>
  <c r="X4" i="6"/>
  <c r="X6" i="6"/>
  <c r="X7" i="6"/>
  <c r="X8" i="6"/>
  <c r="O26" i="6"/>
  <c r="O25" i="6"/>
  <c r="O24" i="6"/>
  <c r="M32" i="10" l="1"/>
  <c r="J10" i="10"/>
  <c r="J11" i="10"/>
  <c r="J12" i="10"/>
  <c r="J13" i="10"/>
  <c r="J14" i="10"/>
  <c r="J15" i="10"/>
  <c r="J16" i="10"/>
  <c r="J17" i="10"/>
  <c r="J18" i="10"/>
  <c r="J19" i="10"/>
  <c r="J9" i="10"/>
  <c r="J4" i="10"/>
  <c r="J3" i="10"/>
  <c r="G38" i="10"/>
  <c r="G27" i="10"/>
  <c r="G26" i="10"/>
  <c r="G33" i="10"/>
  <c r="G36" i="10"/>
  <c r="G39" i="10" s="1"/>
  <c r="G37" i="10"/>
  <c r="G22" i="10"/>
  <c r="G21" i="10"/>
  <c r="G23" i="10" s="1"/>
  <c r="G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K8" i="10"/>
  <c r="M8" i="10" s="1"/>
  <c r="N7" i="10"/>
  <c r="K7" i="10"/>
  <c r="M7" i="10" s="1"/>
  <c r="N6" i="10"/>
  <c r="K6" i="10"/>
  <c r="M6" i="10" s="1"/>
  <c r="N5" i="10"/>
  <c r="K5" i="10"/>
  <c r="M5" i="10" s="1"/>
  <c r="N4" i="10"/>
  <c r="K4" i="10"/>
  <c r="L4" i="10" s="1"/>
  <c r="N3" i="10"/>
  <c r="K3" i="10"/>
  <c r="L3" i="10" s="1"/>
  <c r="D6" i="10"/>
  <c r="C3" i="10"/>
  <c r="C1" i="10"/>
  <c r="C2" i="10" s="1"/>
  <c r="L20" i="10" l="1"/>
  <c r="I39" i="10"/>
  <c r="I36" i="10"/>
  <c r="P8" i="10"/>
  <c r="O20" i="10"/>
  <c r="M20" i="10"/>
  <c r="N20" i="10"/>
  <c r="S6" i="3"/>
  <c r="M21" i="10" l="1"/>
  <c r="M33" i="10"/>
  <c r="J12" i="9"/>
  <c r="J13" i="9"/>
  <c r="J14" i="9"/>
  <c r="J15" i="9"/>
  <c r="J11" i="9"/>
  <c r="G40" i="9"/>
  <c r="G23" i="9"/>
  <c r="G22" i="9"/>
  <c r="I22" i="9" s="1"/>
  <c r="G18" i="9"/>
  <c r="G17" i="9"/>
  <c r="G16" i="9"/>
  <c r="N15" i="9"/>
  <c r="N14" i="9"/>
  <c r="N13" i="9"/>
  <c r="N12" i="9"/>
  <c r="N11" i="9"/>
  <c r="N10" i="9"/>
  <c r="K10" i="9"/>
  <c r="M10" i="9" s="1"/>
  <c r="N9" i="9"/>
  <c r="K9" i="9"/>
  <c r="M9" i="9" s="1"/>
  <c r="N8" i="9"/>
  <c r="K8" i="9"/>
  <c r="M8" i="9" s="1"/>
  <c r="N7" i="9"/>
  <c r="K7" i="9"/>
  <c r="M7" i="9" s="1"/>
  <c r="N6" i="9"/>
  <c r="K6" i="9"/>
  <c r="M6" i="9" s="1"/>
  <c r="N5" i="9"/>
  <c r="K5" i="9"/>
  <c r="M5" i="9" s="1"/>
  <c r="N4" i="9"/>
  <c r="K4" i="9"/>
  <c r="L4" i="9" s="1"/>
  <c r="N3" i="9"/>
  <c r="K3" i="9"/>
  <c r="L3" i="9" s="1"/>
  <c r="D6" i="9"/>
  <c r="C1" i="9"/>
  <c r="L16" i="9" l="1"/>
  <c r="P10" i="9"/>
  <c r="O16" i="9"/>
  <c r="G19" i="9"/>
  <c r="N16" i="9"/>
  <c r="M16" i="9"/>
  <c r="J11" i="8"/>
  <c r="J12" i="8"/>
  <c r="J13" i="8"/>
  <c r="J14" i="8"/>
  <c r="J10" i="8"/>
  <c r="J4" i="8"/>
  <c r="K4" i="8" s="1"/>
  <c r="L4" i="8" s="1"/>
  <c r="J3" i="8"/>
  <c r="K3" i="8" s="1"/>
  <c r="L3" i="8" s="1"/>
  <c r="D6" i="8"/>
  <c r="G22" i="8"/>
  <c r="G21" i="8"/>
  <c r="I21" i="8" s="1"/>
  <c r="G17" i="8"/>
  <c r="G16" i="8"/>
  <c r="G18" i="8" s="1"/>
  <c r="G15" i="8"/>
  <c r="N14" i="8"/>
  <c r="N13" i="8"/>
  <c r="N12" i="8"/>
  <c r="N11" i="8"/>
  <c r="N10" i="8"/>
  <c r="N9" i="8"/>
  <c r="K9" i="8"/>
  <c r="M9" i="8" s="1"/>
  <c r="N8" i="8"/>
  <c r="K8" i="8"/>
  <c r="M8" i="8" s="1"/>
  <c r="N7" i="8"/>
  <c r="K7" i="8"/>
  <c r="M7" i="8" s="1"/>
  <c r="N6" i="8"/>
  <c r="K6" i="8"/>
  <c r="M6" i="8" s="1"/>
  <c r="N5" i="8"/>
  <c r="K5" i="8"/>
  <c r="M5" i="8" s="1"/>
  <c r="N4" i="8"/>
  <c r="N3" i="8"/>
  <c r="C3" i="8"/>
  <c r="C2" i="8"/>
  <c r="C1" i="8"/>
  <c r="P9" i="8" l="1"/>
  <c r="M17" i="9"/>
  <c r="L15" i="8"/>
  <c r="O15" i="8"/>
  <c r="N15" i="8"/>
  <c r="M15" i="8"/>
  <c r="J11" i="7"/>
  <c r="G10" i="7"/>
  <c r="G11" i="7"/>
  <c r="N11" i="7" s="1"/>
  <c r="Q11" i="7"/>
  <c r="D7" i="7"/>
  <c r="G24" i="7"/>
  <c r="G23" i="7"/>
  <c r="M16" i="8" l="1"/>
  <c r="K5" i="7"/>
  <c r="M5" i="7" s="1"/>
  <c r="N5" i="7"/>
  <c r="Q5" i="7"/>
  <c r="K6" i="7"/>
  <c r="M6" i="7" s="1"/>
  <c r="N6" i="7"/>
  <c r="Q6" i="7"/>
  <c r="K7" i="7"/>
  <c r="M7" i="7" s="1"/>
  <c r="N7" i="7"/>
  <c r="Q7" i="7"/>
  <c r="K8" i="7"/>
  <c r="M8" i="7" s="1"/>
  <c r="N8" i="7"/>
  <c r="Q8" i="7"/>
  <c r="K9" i="7"/>
  <c r="M9" i="7" s="1"/>
  <c r="N9" i="7"/>
  <c r="Q9" i="7"/>
  <c r="J10" i="7"/>
  <c r="N10" i="7"/>
  <c r="Q10" i="7"/>
  <c r="J12" i="7"/>
  <c r="N12" i="7"/>
  <c r="Q12" i="7"/>
  <c r="J13" i="7"/>
  <c r="N13" i="7"/>
  <c r="Q13" i="7"/>
  <c r="J14" i="7"/>
  <c r="N14" i="7"/>
  <c r="Q14" i="7"/>
  <c r="J15" i="7"/>
  <c r="N15" i="7"/>
  <c r="Q15" i="7"/>
  <c r="J16" i="7"/>
  <c r="N16" i="7"/>
  <c r="Q16" i="7"/>
  <c r="G17" i="7"/>
  <c r="G18" i="7"/>
  <c r="G19" i="7"/>
  <c r="Q4" i="7"/>
  <c r="N4" i="7"/>
  <c r="J4" i="7"/>
  <c r="K4" i="7" s="1"/>
  <c r="L4" i="7" s="1"/>
  <c r="L17" i="7" s="1"/>
  <c r="Q3" i="7"/>
  <c r="N3" i="7"/>
  <c r="J3" i="7"/>
  <c r="K3" i="7" s="1"/>
  <c r="L3" i="7" s="1"/>
  <c r="C4" i="7"/>
  <c r="D4" i="7" s="1"/>
  <c r="C3" i="7"/>
  <c r="D3" i="7" s="1"/>
  <c r="C2" i="7"/>
  <c r="I23" i="7"/>
  <c r="G20" i="7" l="1"/>
  <c r="O17" i="7"/>
  <c r="P9" i="7"/>
  <c r="M17" i="7"/>
  <c r="M18" i="7" s="1"/>
  <c r="N17" i="7"/>
  <c r="C38" i="6" l="1"/>
  <c r="C39" i="6"/>
  <c r="C40" i="6"/>
  <c r="B47" i="6"/>
  <c r="B36" i="6" l="1"/>
  <c r="B35" i="6"/>
  <c r="V4" i="6"/>
  <c r="V5" i="6"/>
  <c r="V6" i="6"/>
  <c r="V7" i="6"/>
  <c r="V8" i="6"/>
  <c r="V9" i="6"/>
  <c r="V3" i="6"/>
  <c r="E24" i="6"/>
  <c r="E25" i="6"/>
  <c r="E26" i="6"/>
  <c r="E27" i="6"/>
  <c r="E28" i="6"/>
  <c r="E29" i="6"/>
  <c r="E30" i="6"/>
  <c r="E31" i="6"/>
  <c r="E23" i="6"/>
  <c r="J34" i="6" l="1"/>
  <c r="K34" i="6" s="1"/>
  <c r="H38" i="6"/>
  <c r="E39" i="6" s="1"/>
  <c r="Q9" i="6"/>
  <c r="Q8" i="6"/>
  <c r="F9" i="6"/>
  <c r="F10" i="6"/>
  <c r="F8" i="6"/>
  <c r="J4" i="11" l="1"/>
  <c r="J3" i="11"/>
  <c r="K12" i="11"/>
  <c r="J12" i="11"/>
  <c r="N12" i="11"/>
  <c r="G35" i="11"/>
  <c r="G34" i="11"/>
  <c r="G33" i="11"/>
  <c r="G24" i="11"/>
  <c r="G23" i="11"/>
  <c r="G28" i="11" s="1"/>
  <c r="J14" i="11"/>
  <c r="K14" i="11" s="1"/>
  <c r="J15" i="11"/>
  <c r="K15" i="11" s="1"/>
  <c r="J16" i="11"/>
  <c r="K16" i="11" s="1"/>
  <c r="J17" i="11"/>
  <c r="K17" i="11" s="1"/>
  <c r="J18" i="11"/>
  <c r="K18" i="11" s="1"/>
  <c r="J19" i="11"/>
  <c r="K19" i="11" s="1"/>
  <c r="J13" i="11"/>
  <c r="K13" i="11" s="1"/>
  <c r="G22" i="5"/>
  <c r="G21" i="5"/>
  <c r="N13" i="11"/>
  <c r="N14" i="11"/>
  <c r="C4" i="11"/>
  <c r="D4" i="11" s="1"/>
  <c r="C3" i="11"/>
  <c r="D3" i="11" s="1"/>
  <c r="C2" i="11"/>
  <c r="C5" i="11" s="1"/>
  <c r="D5" i="11" s="1"/>
  <c r="I38" i="11"/>
  <c r="I39" i="11"/>
  <c r="I40" i="11"/>
  <c r="I41" i="11"/>
  <c r="H36" i="11"/>
  <c r="H35" i="11"/>
  <c r="H34" i="11"/>
  <c r="H33" i="11"/>
  <c r="J37" i="11"/>
  <c r="J36" i="11"/>
  <c r="J35" i="11"/>
  <c r="J34" i="11"/>
  <c r="J33" i="11"/>
  <c r="G27" i="5"/>
  <c r="G26" i="5"/>
  <c r="N13" i="5"/>
  <c r="N14" i="5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12" i="5"/>
  <c r="K12" i="5" s="1"/>
  <c r="J4" i="5"/>
  <c r="J3" i="5"/>
  <c r="G31" i="5" l="1"/>
  <c r="G23" i="5"/>
  <c r="H42" i="11"/>
  <c r="G35" i="5" l="1"/>
  <c r="C4" i="5" l="1"/>
  <c r="D4" i="5" s="1"/>
  <c r="C3" i="5"/>
  <c r="D3" i="5" s="1"/>
  <c r="C2" i="5"/>
  <c r="C5" i="5" s="1"/>
  <c r="D5" i="5" s="1"/>
  <c r="Y3" i="4"/>
  <c r="Y4" i="4"/>
  <c r="X3" i="4"/>
  <c r="X4" i="4"/>
  <c r="Y10" i="4"/>
  <c r="Y11" i="4"/>
  <c r="Y12" i="4"/>
  <c r="X10" i="4"/>
  <c r="X11" i="4"/>
  <c r="X12" i="4"/>
  <c r="X13" i="4"/>
  <c r="Y13" i="4" s="1"/>
  <c r="X14" i="4"/>
  <c r="Y14" i="4" s="1"/>
  <c r="S15" i="4" l="1"/>
  <c r="X9" i="4"/>
  <c r="Y9" i="4" s="1"/>
  <c r="X8" i="4"/>
  <c r="Y8" i="4" s="1"/>
  <c r="X7" i="4"/>
  <c r="Y7" i="4" s="1"/>
  <c r="X6" i="4"/>
  <c r="Y6" i="4" s="1"/>
  <c r="Y15" i="4" s="1"/>
  <c r="Z15" i="4" s="1"/>
  <c r="X5" i="4"/>
  <c r="Y5" i="4" s="1"/>
  <c r="J4" i="4"/>
  <c r="J3" i="4"/>
  <c r="G23" i="4"/>
  <c r="G22" i="4"/>
  <c r="I22" i="4" s="1"/>
  <c r="C4" i="4"/>
  <c r="C3" i="4"/>
  <c r="M8" i="3"/>
  <c r="X5" i="3"/>
  <c r="Y5" i="3" s="1"/>
  <c r="X4" i="3"/>
  <c r="Y4" i="3" s="1"/>
  <c r="X3" i="3"/>
  <c r="Y3" i="3" s="1"/>
  <c r="Y6" i="3" s="1"/>
  <c r="M10" i="1"/>
  <c r="AA9" i="1"/>
  <c r="AA8" i="1"/>
  <c r="Z8" i="1"/>
  <c r="Y8" i="1"/>
  <c r="Y4" i="1"/>
  <c r="Y5" i="1"/>
  <c r="Y6" i="1"/>
  <c r="Y7" i="1"/>
  <c r="Y3" i="1"/>
  <c r="X4" i="1"/>
  <c r="X5" i="1"/>
  <c r="X6" i="1"/>
  <c r="X7" i="1"/>
  <c r="X3" i="1"/>
  <c r="S8" i="1"/>
  <c r="AA15" i="4" l="1"/>
  <c r="AA16" i="4" s="1"/>
  <c r="M17" i="4" s="1"/>
  <c r="C4" i="3"/>
  <c r="C3" i="3"/>
  <c r="C2" i="3"/>
  <c r="C4" i="1" l="1"/>
  <c r="C3" i="1"/>
  <c r="C2" i="1" l="1"/>
  <c r="G15" i="1"/>
  <c r="G16" i="1"/>
  <c r="I15" i="1" s="1"/>
  <c r="G28" i="1"/>
  <c r="G25" i="1" l="1"/>
  <c r="G37" i="11"/>
  <c r="I37" i="11" s="1"/>
  <c r="I25" i="1" l="1"/>
  <c r="G36" i="11"/>
  <c r="I36" i="11" s="1"/>
  <c r="I35" i="11"/>
  <c r="I34" i="11"/>
  <c r="K3" i="11"/>
  <c r="N3" i="11"/>
  <c r="K4" i="11"/>
  <c r="L4" i="11" s="1"/>
  <c r="N4" i="11"/>
  <c r="J5" i="11"/>
  <c r="K5" i="11" s="1"/>
  <c r="M5" i="11" s="1"/>
  <c r="N5" i="11"/>
  <c r="K6" i="11"/>
  <c r="M6" i="11" s="1"/>
  <c r="N6" i="11"/>
  <c r="K7" i="11"/>
  <c r="M7" i="11" s="1"/>
  <c r="N7" i="11"/>
  <c r="G20" i="11"/>
  <c r="N19" i="11"/>
  <c r="N18" i="11"/>
  <c r="N17" i="11"/>
  <c r="N16" i="11"/>
  <c r="N15" i="11"/>
  <c r="N11" i="11"/>
  <c r="K11" i="11"/>
  <c r="M11" i="11" s="1"/>
  <c r="N10" i="11"/>
  <c r="K10" i="11"/>
  <c r="M10" i="11" s="1"/>
  <c r="N9" i="11"/>
  <c r="K9" i="11"/>
  <c r="M9" i="11" s="1"/>
  <c r="N8" i="11"/>
  <c r="K8" i="11"/>
  <c r="M8" i="11" s="1"/>
  <c r="O20" i="11" l="1"/>
  <c r="L3" i="11"/>
  <c r="L20" i="11" s="1"/>
  <c r="K20" i="11"/>
  <c r="N20" i="11"/>
  <c r="I33" i="11"/>
  <c r="I23" i="11"/>
  <c r="M20" i="11"/>
  <c r="P11" i="11"/>
  <c r="P28" i="11" l="1"/>
  <c r="K36" i="11"/>
  <c r="M21" i="11"/>
  <c r="I42" i="11" l="1"/>
  <c r="J42" i="11" s="1"/>
  <c r="G42" i="11"/>
  <c r="G33" i="7" l="1"/>
  <c r="G39" i="9" l="1"/>
  <c r="G38" i="9"/>
  <c r="G37" i="9"/>
  <c r="G30" i="8"/>
  <c r="G29" i="8"/>
  <c r="G28" i="8"/>
  <c r="G31" i="7"/>
  <c r="G30" i="7"/>
  <c r="I34" i="7" s="1"/>
  <c r="G25" i="3"/>
  <c r="G24" i="3"/>
  <c r="G23" i="3"/>
  <c r="C30" i="2"/>
  <c r="C29" i="2"/>
  <c r="J5" i="5"/>
  <c r="G10" i="3"/>
  <c r="G9" i="3"/>
  <c r="G11" i="3" s="1"/>
  <c r="G7" i="3"/>
  <c r="N6" i="3"/>
  <c r="N5" i="3"/>
  <c r="N4" i="3"/>
  <c r="N3" i="3"/>
  <c r="P3" i="3" s="1"/>
  <c r="K3" i="3"/>
  <c r="M3" i="3" s="1"/>
  <c r="M7" i="3" s="1"/>
  <c r="G9" i="1"/>
  <c r="P27" i="1" s="1"/>
  <c r="G11" i="1"/>
  <c r="G10" i="1"/>
  <c r="N8" i="1"/>
  <c r="N7" i="1"/>
  <c r="N6" i="1"/>
  <c r="N5" i="1"/>
  <c r="N4" i="1"/>
  <c r="N3" i="1"/>
  <c r="P3" i="1" s="1"/>
  <c r="M17" i="6"/>
  <c r="G12" i="1" l="1"/>
  <c r="G36" i="7"/>
  <c r="I36" i="7" s="1"/>
  <c r="O7" i="3"/>
  <c r="N9" i="1"/>
  <c r="P25" i="1" s="1"/>
  <c r="N7" i="3"/>
  <c r="O9" i="1"/>
  <c r="G30" i="1"/>
  <c r="G29" i="1"/>
  <c r="C28" i="2"/>
  <c r="E28" i="2" l="1"/>
  <c r="C32" i="2"/>
  <c r="G31" i="1"/>
  <c r="I31" i="1" s="1"/>
  <c r="M16" i="6"/>
  <c r="M18" i="6" l="1"/>
  <c r="G18" i="4"/>
  <c r="G17" i="4"/>
  <c r="C2" i="4"/>
  <c r="G15" i="4"/>
  <c r="N14" i="4"/>
  <c r="N13" i="4"/>
  <c r="N12" i="4"/>
  <c r="N11" i="4"/>
  <c r="N10" i="4"/>
  <c r="N9" i="4"/>
  <c r="K9" i="4"/>
  <c r="M9" i="4" s="1"/>
  <c r="N8" i="4"/>
  <c r="K8" i="4"/>
  <c r="M8" i="4" s="1"/>
  <c r="N7" i="4"/>
  <c r="K7" i="4"/>
  <c r="M7" i="4" s="1"/>
  <c r="N6" i="4"/>
  <c r="K6" i="4"/>
  <c r="M6" i="4" s="1"/>
  <c r="N5" i="4"/>
  <c r="K5" i="4"/>
  <c r="M5" i="4" s="1"/>
  <c r="N4" i="4"/>
  <c r="K4" i="4"/>
  <c r="L4" i="4" s="1"/>
  <c r="N3" i="4"/>
  <c r="P9" i="4" s="1"/>
  <c r="K3" i="4"/>
  <c r="L3" i="4" s="1"/>
  <c r="M14" i="6"/>
  <c r="M13" i="6"/>
  <c r="M12" i="6"/>
  <c r="M10" i="6"/>
  <c r="U9" i="6"/>
  <c r="S9" i="6"/>
  <c r="T9" i="6" s="1"/>
  <c r="U8" i="6"/>
  <c r="S8" i="6"/>
  <c r="T8" i="6" s="1"/>
  <c r="U7" i="6"/>
  <c r="R7" i="6"/>
  <c r="S7" i="6" s="1"/>
  <c r="T7" i="6" s="1"/>
  <c r="U6" i="6"/>
  <c r="Q6" i="6"/>
  <c r="R6" i="6" s="1"/>
  <c r="S6" i="6" s="1"/>
  <c r="T6" i="6" s="1"/>
  <c r="U5" i="6"/>
  <c r="Q5" i="6"/>
  <c r="R5" i="6" s="1"/>
  <c r="S5" i="6" s="1"/>
  <c r="T5" i="6" s="1"/>
  <c r="U4" i="6"/>
  <c r="Q4" i="6"/>
  <c r="R4" i="6" s="1"/>
  <c r="S4" i="6" s="1"/>
  <c r="T4" i="6" s="1"/>
  <c r="U3" i="6"/>
  <c r="Q3" i="6"/>
  <c r="R3" i="6" s="1"/>
  <c r="S3" i="6" s="1"/>
  <c r="G20" i="5"/>
  <c r="N19" i="5"/>
  <c r="N18" i="5"/>
  <c r="N17" i="5"/>
  <c r="N16" i="5"/>
  <c r="N15" i="5"/>
  <c r="N12" i="5"/>
  <c r="N11" i="5"/>
  <c r="K11" i="5"/>
  <c r="M11" i="5" s="1"/>
  <c r="N10" i="5"/>
  <c r="K10" i="5"/>
  <c r="M10" i="5" s="1"/>
  <c r="N9" i="5"/>
  <c r="K9" i="5"/>
  <c r="M9" i="5" s="1"/>
  <c r="N8" i="5"/>
  <c r="K8" i="5"/>
  <c r="M8" i="5" s="1"/>
  <c r="N7" i="5"/>
  <c r="K7" i="5"/>
  <c r="M7" i="5" s="1"/>
  <c r="N6" i="5"/>
  <c r="K6" i="5"/>
  <c r="M6" i="5" s="1"/>
  <c r="N5" i="5"/>
  <c r="K5" i="5"/>
  <c r="M5" i="5" s="1"/>
  <c r="N4" i="5"/>
  <c r="K4" i="5"/>
  <c r="L4" i="5" s="1"/>
  <c r="N3" i="5"/>
  <c r="K3" i="5"/>
  <c r="Y3" i="6" l="1"/>
  <c r="Y5" i="6"/>
  <c r="L3" i="5"/>
  <c r="L20" i="5" s="1"/>
  <c r="K20" i="5"/>
  <c r="O20" i="5"/>
  <c r="P11" i="5"/>
  <c r="G36" i="4"/>
  <c r="G35" i="4"/>
  <c r="N29" i="4"/>
  <c r="G34" i="4"/>
  <c r="G19" i="4"/>
  <c r="N15" i="4"/>
  <c r="O15" i="4"/>
  <c r="L15" i="4"/>
  <c r="M15" i="4"/>
  <c r="U10" i="6"/>
  <c r="S10" i="6"/>
  <c r="T3" i="6"/>
  <c r="T10" i="6" s="1"/>
  <c r="N20" i="5"/>
  <c r="M20" i="5"/>
  <c r="M16" i="4" l="1"/>
  <c r="M21" i="5"/>
  <c r="G29" i="9" l="1"/>
  <c r="P29" i="9" s="1"/>
  <c r="H8" i="6" l="1"/>
  <c r="G15" i="3" l="1"/>
  <c r="G14" i="3"/>
  <c r="D35" i="6" l="1"/>
  <c r="G16" i="3"/>
  <c r="G25" i="8"/>
  <c r="C10" i="2" l="1"/>
  <c r="C21" i="2" s="1"/>
  <c r="G27" i="4" l="1"/>
  <c r="N27" i="4" s="1"/>
  <c r="I26" i="5" l="1"/>
  <c r="P31" i="5" s="1"/>
  <c r="E20" i="2" l="1"/>
  <c r="E14" i="2"/>
  <c r="E12" i="2"/>
  <c r="G41" i="5" l="1"/>
  <c r="I41" i="5" s="1"/>
  <c r="L30" i="10" l="1"/>
  <c r="I37" i="9" l="1"/>
  <c r="G41" i="9"/>
  <c r="I41" i="9" s="1"/>
  <c r="I28" i="8" l="1"/>
  <c r="G32" i="8"/>
  <c r="I32" i="8" s="1"/>
  <c r="B56" i="6" l="1"/>
  <c r="B57" i="6" s="1"/>
  <c r="D24" i="6"/>
  <c r="D25" i="6"/>
  <c r="D26" i="6"/>
  <c r="D27" i="6"/>
  <c r="D28" i="6"/>
  <c r="D29" i="6"/>
  <c r="D30" i="6"/>
  <c r="D31" i="6"/>
  <c r="D23" i="6"/>
  <c r="B32" i="6"/>
  <c r="D32" i="6" l="1"/>
  <c r="G7" i="6"/>
  <c r="H7" i="6" s="1"/>
  <c r="I7" i="6" s="1"/>
  <c r="F6" i="6"/>
  <c r="G6" i="6" s="1"/>
  <c r="H6" i="6" s="1"/>
  <c r="I6" i="6" s="1"/>
  <c r="F5" i="6"/>
  <c r="G5" i="6" s="1"/>
  <c r="H5" i="6" s="1"/>
  <c r="I5" i="6" s="1"/>
  <c r="F4" i="6"/>
  <c r="G4" i="6" s="1"/>
  <c r="H4" i="6" s="1"/>
  <c r="I4" i="6" s="1"/>
  <c r="F3" i="6"/>
  <c r="G3" i="6" s="1"/>
  <c r="H3" i="6" s="1"/>
  <c r="I3" i="6" s="1"/>
  <c r="H9" i="6"/>
  <c r="I9" i="6" s="1"/>
  <c r="H10" i="6"/>
  <c r="I10" i="6" s="1"/>
  <c r="I8" i="6"/>
  <c r="B11" i="6"/>
  <c r="J10" i="6"/>
  <c r="J9" i="6"/>
  <c r="J8" i="6"/>
  <c r="J7" i="6"/>
  <c r="J6" i="6"/>
  <c r="J5" i="6"/>
  <c r="J4" i="6"/>
  <c r="J3" i="6"/>
  <c r="L4" i="2"/>
  <c r="L5" i="2"/>
  <c r="L6" i="2"/>
  <c r="L3" i="2"/>
  <c r="L7" i="2" l="1"/>
  <c r="L21" i="2" s="1"/>
  <c r="L23" i="2" s="1"/>
  <c r="I11" i="6"/>
  <c r="J11" i="6"/>
  <c r="H11" i="6"/>
  <c r="C7" i="2"/>
  <c r="E32" i="2" s="1"/>
  <c r="H6" i="2"/>
  <c r="I6" i="2" s="1"/>
  <c r="H5" i="2"/>
  <c r="I5" i="2" s="1"/>
  <c r="H4" i="2"/>
  <c r="I4" i="2" s="1"/>
  <c r="H3" i="2"/>
  <c r="I3" i="2" s="1"/>
  <c r="G37" i="4" l="1"/>
  <c r="I37" i="4" s="1"/>
  <c r="K3" i="1"/>
  <c r="M3" i="1" s="1"/>
  <c r="M9" i="1" s="1"/>
  <c r="L24" i="2"/>
  <c r="I34" i="4"/>
  <c r="I7" i="2"/>
  <c r="J7" i="2" l="1"/>
  <c r="K7" i="2" s="1"/>
  <c r="G26" i="3"/>
  <c r="I26" i="3" s="1"/>
  <c r="Z6" i="3"/>
  <c r="AA6" i="3"/>
  <c r="AA7" i="3" s="1"/>
</calcChain>
</file>

<file path=xl/comments1.xml><?xml version="1.0" encoding="utf-8"?>
<comments xmlns="http://schemas.openxmlformats.org/spreadsheetml/2006/main">
  <authors>
    <author>Wilcock Adrian</author>
  </authors>
  <commentList>
    <comment ref="F33" authorId="0" shapeId="0">
      <text>
        <r>
          <rPr>
            <b/>
            <sz val="9"/>
            <color indexed="81"/>
            <rFont val="Tahoma"/>
            <family val="2"/>
          </rPr>
          <t>Wilcock Adrian:</t>
        </r>
        <r>
          <rPr>
            <sz val="9"/>
            <color indexed="81"/>
            <rFont val="Tahoma"/>
            <family val="2"/>
          </rPr>
          <t xml:space="preserve">
to break up built area - not to include peripheral strategic landscaping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Wilcock Adrian:</t>
        </r>
        <r>
          <rPr>
            <sz val="9"/>
            <color indexed="81"/>
            <rFont val="Tahoma"/>
            <family val="2"/>
          </rPr>
          <t xml:space="preserve">
2 x LEAP/NEAPs
? LAP/LEAPs
? LAPs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Wilcock Adrian:</t>
        </r>
        <r>
          <rPr>
            <sz val="9"/>
            <color indexed="81"/>
            <rFont val="Tahoma"/>
            <family val="2"/>
          </rPr>
          <t xml:space="preserve">
4 Pitches and 1 MUGA and enough changing facilities car parking etc.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Wilcock Adrian:</t>
        </r>
        <r>
          <rPr>
            <sz val="9"/>
            <color indexed="81"/>
            <rFont val="Tahoma"/>
            <family val="2"/>
          </rPr>
          <t xml:space="preserve">
24 x 250m2 allotments + 468m2 other space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>Wilcock Adrian:</t>
        </r>
        <r>
          <rPr>
            <sz val="9"/>
            <color indexed="81"/>
            <rFont val="Tahoma"/>
            <family val="2"/>
          </rPr>
          <t xml:space="preserve">
Maintained by local committee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>Wilcock Adrian:</t>
        </r>
        <r>
          <rPr>
            <sz val="9"/>
            <color indexed="81"/>
            <rFont val="Tahoma"/>
            <family val="2"/>
          </rPr>
          <t xml:space="preserve">
Size of building(s) only</t>
        </r>
      </text>
    </comment>
  </commentList>
</comments>
</file>

<file path=xl/comments2.xml><?xml version="1.0" encoding="utf-8"?>
<comments xmlns="http://schemas.openxmlformats.org/spreadsheetml/2006/main">
  <authors>
    <author>Wilcock Adrian</author>
  </authors>
  <commentList>
    <comment ref="F22" authorId="0" shapeId="0">
      <text>
        <r>
          <rPr>
            <sz val="10"/>
            <color indexed="81"/>
            <rFont val="Tahoma"/>
            <family val="2"/>
          </rPr>
          <t>Includes
Substructure
Superstructure
Internal Finishes
Fitting &amp; Furnishings
Services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Per Plot = £19,855</t>
        </r>
        <r>
          <rPr>
            <sz val="9"/>
            <color indexed="81"/>
            <rFont val="Tahoma"/>
            <family val="2"/>
          </rPr>
          <t xml:space="preserve">
Garages £6,740
Screen Wales, Fencing &amp; Gates £970
Retaining Walls  £2,180
Turfing Topsoil £635
Patios Sheds £1,100
Private Paths &amp; Driveway £3,745
Contributions to Estate Roads &amp; Drainage £4,485</t>
        </r>
      </text>
    </comment>
    <comment ref="B40" authorId="0" shapeId="0">
      <text>
        <r>
          <rPr>
            <sz val="9"/>
            <color indexed="81"/>
            <rFont val="Tahoma"/>
            <family val="2"/>
          </rPr>
          <t>increased foundation costs and the need for underbuild</t>
        </r>
      </text>
    </comment>
  </commentList>
</comments>
</file>

<file path=xl/sharedStrings.xml><?xml version="1.0" encoding="utf-8"?>
<sst xmlns="http://schemas.openxmlformats.org/spreadsheetml/2006/main" count="909" uniqueCount="351">
  <si>
    <t>House Type</t>
  </si>
  <si>
    <t>No.s (A)</t>
  </si>
  <si>
    <t>Equivalent RSL House Type</t>
  </si>
  <si>
    <t>Total</t>
  </si>
  <si>
    <t>2 Bed - A</t>
  </si>
  <si>
    <t>3 Bed - B</t>
  </si>
  <si>
    <t>3 Bed - C</t>
  </si>
  <si>
    <t>4 Bed - D</t>
  </si>
  <si>
    <t>TOTAL</t>
  </si>
  <si>
    <t xml:space="preserve">5 Person 3 Bed House </t>
  </si>
  <si>
    <t>7 Person 4 Bed House</t>
  </si>
  <si>
    <t>1 Bed Flat</t>
  </si>
  <si>
    <t>2 Bed Flat</t>
  </si>
  <si>
    <t>2 Bed Terrace</t>
  </si>
  <si>
    <t>3 Bed Terrace</t>
  </si>
  <si>
    <t>4 Bed Terrace</t>
  </si>
  <si>
    <t>2 Person 1 Bed Flat</t>
  </si>
  <si>
    <t>3 Person 2 Bed Flat</t>
  </si>
  <si>
    <t>Size (M2) (B)</t>
  </si>
  <si>
    <t>Equivalent RSL House Type (M2) (C)</t>
  </si>
  <si>
    <t xml:space="preserve">Equivalent Band 1 ACG £ (D) </t>
  </si>
  <si>
    <t>4 Person 2 Bed House</t>
  </si>
  <si>
    <t>5 Person 3 Bed House</t>
  </si>
  <si>
    <t>Total Site ACG Value (A x B x E = F)</t>
  </si>
  <si>
    <t>4 Person 3 Bed House</t>
  </si>
  <si>
    <t xml:space="preserve">7 Person 4 Bed House </t>
  </si>
  <si>
    <t>3 Bed Detached</t>
  </si>
  <si>
    <t>4 Bed Detached</t>
  </si>
  <si>
    <t>5 Bed Detached</t>
  </si>
  <si>
    <t>3 Bed Terraces</t>
  </si>
  <si>
    <t>3 Bed Semis</t>
  </si>
  <si>
    <t>4 Bed Semis</t>
  </si>
  <si>
    <t>Total M2</t>
  </si>
  <si>
    <t>2 Person 1 Bed Flat - SR</t>
  </si>
  <si>
    <t>3 Person 2 Bed Flat - SR</t>
  </si>
  <si>
    <t>4 Person 2 Bed House - SR</t>
  </si>
  <si>
    <t>5 Person 3 Bed House - SR</t>
  </si>
  <si>
    <t>7 Person 4 Bed House - SR</t>
  </si>
  <si>
    <t>3 Person 2 Bed Flat - Int</t>
  </si>
  <si>
    <t>4 Person 2 Bed House - Int</t>
  </si>
  <si>
    <t>5 Person 3 Bed House - Int</t>
  </si>
  <si>
    <t xml:space="preserve">Equivalent Band 3/4 ACG £ per M2 (E) </t>
  </si>
  <si>
    <t xml:space="preserve">Equivalent Band 3/4 ACG or OMV £ (D) </t>
  </si>
  <si>
    <t>Total Value of 20% Affordable Housing Requirement</t>
  </si>
  <si>
    <t>Notes:</t>
  </si>
  <si>
    <t xml:space="preserve">     50% of OMV for the Intermediate units</t>
  </si>
  <si>
    <t xml:space="preserve">2.  The site spans two ACG Wards either side of the Canal; i.e. Pontnewydd which is ACG Band 3 and Upper Cwmbran which is ACG Band 4 - so an average of these two ACG Bands </t>
  </si>
  <si>
    <t xml:space="preserve">      has been used in this table for the Socially Rented units</t>
  </si>
  <si>
    <t>Total Affordable M2</t>
  </si>
  <si>
    <t>Market Mix</t>
  </si>
  <si>
    <t>3 Bed House</t>
  </si>
  <si>
    <t>4 Bed House</t>
  </si>
  <si>
    <t>5 Bed House</t>
  </si>
  <si>
    <t>No.s</t>
  </si>
  <si>
    <t>Size (M2)</t>
  </si>
  <si>
    <t>Total Market M2</t>
  </si>
  <si>
    <t>Abnormals</t>
  </si>
  <si>
    <t>Cost</t>
  </si>
  <si>
    <t>Sewer Requisition Works</t>
  </si>
  <si>
    <t>Landscaping for Phases 1 &amp; 2</t>
  </si>
  <si>
    <t>Stats / Incoming Utility Supplies</t>
  </si>
  <si>
    <t>Other Costs</t>
  </si>
  <si>
    <t xml:space="preserve">S106 </t>
  </si>
  <si>
    <t>Education Contribution</t>
  </si>
  <si>
    <t>Village Core</t>
  </si>
  <si>
    <t>Playing Fields &amp; Changing Rooms</t>
  </si>
  <si>
    <t>Chldren's Play Areas</t>
  </si>
  <si>
    <t>Allotments</t>
  </si>
  <si>
    <t>Public Transport Contribution</t>
  </si>
  <si>
    <t>S106 per Unit</t>
  </si>
  <si>
    <t>Other Testing Assuptions from GVA Viability Appraisal</t>
  </si>
  <si>
    <t>Demolition</t>
  </si>
  <si>
    <t>S106</t>
  </si>
  <si>
    <t>Extra-over Link Rd</t>
  </si>
  <si>
    <t>Education</t>
  </si>
  <si>
    <t>Demolition County Hall</t>
  </si>
  <si>
    <t>Bat House</t>
  </si>
  <si>
    <t>Road Crossing</t>
  </si>
  <si>
    <t>3 Bed Flats</t>
  </si>
  <si>
    <t>4 Bed Flats</t>
  </si>
  <si>
    <t>3 Bed Terraced</t>
  </si>
  <si>
    <t>4 Bed Terraced</t>
  </si>
  <si>
    <t>4 Bed Town Houses</t>
  </si>
  <si>
    <t>5 Bed Town Houses</t>
  </si>
  <si>
    <t>Upgrade Access from A4041</t>
  </si>
  <si>
    <t>VVP Funded</t>
  </si>
  <si>
    <t>Canal Service Point</t>
  </si>
  <si>
    <t>Visitor Centre</t>
  </si>
  <si>
    <t>POS &amp; Canal</t>
  </si>
  <si>
    <t>Lock 10A</t>
  </si>
  <si>
    <t>Contamination</t>
  </si>
  <si>
    <t>£?</t>
  </si>
  <si>
    <t>Other Un-costed Abnormals</t>
  </si>
  <si>
    <t>Localised Contamination</t>
  </si>
  <si>
    <t>A4042T Noise Bund</t>
  </si>
  <si>
    <t>N/A</t>
  </si>
  <si>
    <t>Total Site ACG or OMV Value (A x B x E = F)</t>
  </si>
  <si>
    <t>Utilities</t>
  </si>
  <si>
    <t>Demolitions</t>
  </si>
  <si>
    <t>Cycleways</t>
  </si>
  <si>
    <t>Infrastructure Works</t>
  </si>
  <si>
    <t>Other Un-costed Potential Abnormals</t>
  </si>
  <si>
    <t>Contribution Pontypool Park &amp; Ride</t>
  </si>
  <si>
    <t>Relocation of Allotments</t>
  </si>
  <si>
    <t>Offsite Access Link from south</t>
  </si>
  <si>
    <t>Sloping Site Measures @ £5k unit</t>
  </si>
  <si>
    <t>On-site springs?</t>
  </si>
  <si>
    <t>Water Supply Pump</t>
  </si>
  <si>
    <t>Asbestos</t>
  </si>
  <si>
    <t>Sewer Diversion</t>
  </si>
  <si>
    <t>Slate Roofs</t>
  </si>
  <si>
    <t>Composite Windows</t>
  </si>
  <si>
    <t>Additonal Landscaping</t>
  </si>
  <si>
    <t>Traffic Calming &amp; Extend 40mph</t>
  </si>
  <si>
    <t>Extra Foundation Width</t>
  </si>
  <si>
    <t>External Stonework</t>
  </si>
  <si>
    <t>Slate Roofs &amp; Cast Iron RWG</t>
  </si>
  <si>
    <t>Wood Doors &amp; Sash Windows</t>
  </si>
  <si>
    <t>Prelims Uplift</t>
  </si>
  <si>
    <t>2 x Bus Shelters &amp; Platforms</t>
  </si>
  <si>
    <t>130m footway on south side of Garn Rd</t>
  </si>
  <si>
    <t>Other Un-costed Potential Costs</t>
  </si>
  <si>
    <t>Step Foundations</t>
  </si>
  <si>
    <t>Raft Foundations?</t>
  </si>
  <si>
    <t>highways</t>
  </si>
  <si>
    <t>design</t>
  </si>
  <si>
    <t>recreation</t>
  </si>
  <si>
    <t>Lizard Relocation</t>
  </si>
  <si>
    <t>lizard</t>
  </si>
  <si>
    <t>Curtilage Stones Walls, Railings &amp; Cobles</t>
  </si>
  <si>
    <t>Street Lighting on Garn Rd</t>
  </si>
  <si>
    <t>Sprinklers 26 Houses @ £3,075</t>
  </si>
  <si>
    <t>Sprinklers 16 Flats @ £879</t>
  </si>
  <si>
    <t>Sprinklers 38 Houses @ £3,075</t>
  </si>
  <si>
    <t>m2</t>
  </si>
  <si>
    <t>Sprinklers</t>
  </si>
  <si>
    <t>per unit</t>
  </si>
  <si>
    <t>Sprinklers 7 Houses @ £3,075</t>
  </si>
  <si>
    <t>sprinklers</t>
  </si>
  <si>
    <t>Recreation</t>
  </si>
  <si>
    <t>4P2BH</t>
  </si>
  <si>
    <t>5P3BH</t>
  </si>
  <si>
    <t>6P4BH</t>
  </si>
  <si>
    <t>2 bed terrace - SR</t>
  </si>
  <si>
    <t>1 bed flat - SR</t>
  </si>
  <si>
    <t>2P1BF</t>
  </si>
  <si>
    <t>50% of MV</t>
  </si>
  <si>
    <t>3 bed terrace - SR</t>
  </si>
  <si>
    <t>RSL Cont 37% ACG</t>
  </si>
  <si>
    <t>2 bed flat - SR</t>
  </si>
  <si>
    <t>MV or ACG B3</t>
  </si>
  <si>
    <t>2 bed terrace - LCHO</t>
  </si>
  <si>
    <t>3 bed terrace - LCHO</t>
  </si>
  <si>
    <t>1 bed bungalow  - SR</t>
  </si>
  <si>
    <t>2 bed bungalow - SR</t>
  </si>
  <si>
    <t>4 bed terrace - SR</t>
  </si>
  <si>
    <t>3P1BF</t>
  </si>
  <si>
    <t>3P2BB</t>
  </si>
  <si>
    <t>2P1BB</t>
  </si>
  <si>
    <t>MV or ACG Total</t>
  </si>
  <si>
    <t>Market M2</t>
  </si>
  <si>
    <t>Size M2</t>
  </si>
  <si>
    <t>2 Bed Terraces - LCHO</t>
  </si>
  <si>
    <t>3 Bed Terraces - LCHO</t>
  </si>
  <si>
    <t>1 Bed Flat - SR</t>
  </si>
  <si>
    <t>2 Bed Flat - SR</t>
  </si>
  <si>
    <t>4 Bed Terraces - SR</t>
  </si>
  <si>
    <t>3 Bed Terraces - SR</t>
  </si>
  <si>
    <t>2 Bed Terraces - SR</t>
  </si>
  <si>
    <t xml:space="preserve">RSL Cont 37% </t>
  </si>
  <si>
    <t>MV or ACG Band 2</t>
  </si>
  <si>
    <t>MV or ACG Band 4</t>
  </si>
  <si>
    <t>RSL Cont 37%</t>
  </si>
  <si>
    <t>50 0f MV</t>
  </si>
  <si>
    <t>RSL House Type</t>
  </si>
  <si>
    <t>MV or ACG Band 3</t>
  </si>
  <si>
    <t>50% MV</t>
  </si>
  <si>
    <t>TOTAL RSL CONTRIB.</t>
  </si>
  <si>
    <t>£0.75 DWELLING</t>
  </si>
  <si>
    <t>add to S106 costs in DAT</t>
  </si>
  <si>
    <t>add to DAT abnormals</t>
  </si>
  <si>
    <t>Sprinklers 38 houses @ £3,075</t>
  </si>
  <si>
    <t>Sprinklers 36 Flats @ £879</t>
  </si>
  <si>
    <t>Sprinklers 164 houses @ £3,075</t>
  </si>
  <si>
    <t>50% 0f MV</t>
  </si>
  <si>
    <t>90 AH Dwellings x 80% SR</t>
  </si>
  <si>
    <t>90 AH Dwellings x 20% LCHO</t>
  </si>
  <si>
    <t>Dwellings</t>
  </si>
  <si>
    <t>220 Dwellings x 30% AH</t>
  </si>
  <si>
    <t>300 Dwellings x 30% AH</t>
  </si>
  <si>
    <t>66 AH Dwellings x 80% SR</t>
  </si>
  <si>
    <t>66 AH Dwellings x 20% LCHO</t>
  </si>
  <si>
    <t>Total AH M2</t>
  </si>
  <si>
    <t>Sprinklers 264 houses @ £3,075</t>
  </si>
  <si>
    <t>Sprinklers 28 Flats @ £879</t>
  </si>
  <si>
    <t>Sprinklers 192 houses @ £3,075</t>
  </si>
  <si>
    <t>200 Dwellings x 10% AH</t>
  </si>
  <si>
    <t>20 AH Dwellings x 80% SR</t>
  </si>
  <si>
    <t>20 AH Dwellings x 20% LCHO</t>
  </si>
  <si>
    <t>350 Dwellings x 30% AH</t>
  </si>
  <si>
    <t>105 AH Dwellings x 80% SR</t>
  </si>
  <si>
    <t>105 AH Dwellings x 20% LCHO</t>
  </si>
  <si>
    <t>425 AH Dwellings x 80% SR</t>
  </si>
  <si>
    <t>425 AH Dwellings x 20% LCHO</t>
  </si>
  <si>
    <t>1200 Dwellings x 20% AH</t>
  </si>
  <si>
    <t>240 AH Dwellings x 80% SR</t>
  </si>
  <si>
    <t>240 AH Dwellings x 20% LCHO</t>
  </si>
  <si>
    <t>135 Dwellings x 25% AH</t>
  </si>
  <si>
    <t>33.75 AH Dwellings x 80% SR</t>
  </si>
  <si>
    <t>33.75 AH Dwellings x 20% LCHO</t>
  </si>
  <si>
    <t>Cash Contribution</t>
  </si>
  <si>
    <t>Sprinklers 14 Flats @ £879</t>
  </si>
  <si>
    <t>Sprinklers 121 houses @ £3,075</t>
  </si>
  <si>
    <t>Sprinklers 7 houses @ £3,075</t>
  </si>
  <si>
    <t>Sprinklers 108 Flats @ £879</t>
  </si>
  <si>
    <t>Sprinklers 1,092 houses @ £3,075</t>
  </si>
  <si>
    <t>Children's Play (£508)</t>
  </si>
  <si>
    <t>Adult Recreation (£1,136)</t>
  </si>
  <si>
    <t>Public Open Space (£224)</t>
  </si>
  <si>
    <t>Per Unit</t>
  </si>
  <si>
    <t>54 Dwellings x 5% AH</t>
  </si>
  <si>
    <t>2.7 AH Dwellings x 80% SR</t>
  </si>
  <si>
    <t>2.7 AH Dwellings x 20% LCHO</t>
  </si>
  <si>
    <t>£0.7 DWELLING</t>
  </si>
  <si>
    <t>23 Dwellings x 5% AH</t>
  </si>
  <si>
    <t>1.15 AH Dwellings x 80% SR</t>
  </si>
  <si>
    <t>1.15 AH Dwellings x 20% LCHO</t>
  </si>
  <si>
    <t>£0.15 DWELLING</t>
  </si>
  <si>
    <t>4P3BH</t>
  </si>
  <si>
    <t>Sprinklers 38 Flats @ £879</t>
  </si>
  <si>
    <t>Sprinklers 312 houses @ £3,075</t>
  </si>
  <si>
    <t>30% Affordable Housing at Council 80/20 Mix</t>
  </si>
  <si>
    <t>Traffic Calming</t>
  </si>
  <si>
    <t>MV</t>
  </si>
  <si>
    <r>
      <t xml:space="preserve">MV or </t>
    </r>
    <r>
      <rPr>
        <sz val="11"/>
        <color rgb="FF00B050"/>
        <rFont val="Calibri"/>
        <family val="2"/>
        <scheme val="minor"/>
      </rPr>
      <t>ACG Band 3</t>
    </r>
  </si>
  <si>
    <t>Grasslands Mitigation</t>
  </si>
  <si>
    <t>Adult Recreation Phase 2 (£1,136 x 131)</t>
  </si>
  <si>
    <t>Children's Play (£508 x 350)</t>
  </si>
  <si>
    <t>Public Open Space (£224 x 350)</t>
  </si>
  <si>
    <t>Adult Recreation Phase 1 (£74,957 + Adult Gym)</t>
  </si>
  <si>
    <t>210 Market</t>
  </si>
  <si>
    <t>Capital</t>
  </si>
  <si>
    <t>Public Open Space (9.16m2 / dwelling)</t>
  </si>
  <si>
    <t>Children's Play (18.3m2 / dwelling)</t>
  </si>
  <si>
    <t>Adult Recreation (36.6m2 / dwelling)</t>
  </si>
  <si>
    <t>Allotments (5.88m2 / dwelling)</t>
  </si>
  <si>
    <t>for POS &amp; Rec</t>
  </si>
  <si>
    <t>3yr Bus Subsidy &amp; Bus Shelters</t>
  </si>
  <si>
    <t>S106 per dwelling</t>
  </si>
  <si>
    <t>315 place Primary School</t>
  </si>
  <si>
    <t>add to RSL contribution in DAT</t>
  </si>
  <si>
    <t>sprinklers  add to DAT abnormals</t>
  </si>
  <si>
    <t>Area m2</t>
  </si>
  <si>
    <t>Contribution to Pontypool Park &amp; Ride</t>
  </si>
  <si>
    <t>25% Affordable Housing at Council 80/20 Mix</t>
  </si>
  <si>
    <t>5% Affordable Housing (80/20 Mix) Across all House Types</t>
  </si>
  <si>
    <t>Total ACG Value of 5% Affordable Housing Requirement (F x 5% = G)</t>
  </si>
  <si>
    <t xml:space="preserve">Developer Contribution (G x 60.4%) 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</si>
  <si>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</si>
  <si>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Size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(B)</t>
    </r>
  </si>
  <si>
    <r>
      <t>Equivalent RSL House Type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(C)</t>
    </r>
  </si>
  <si>
    <r>
      <t>Equivalent Band 1 ACG £ per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(E) </t>
    </r>
  </si>
  <si>
    <r>
      <t>Total M</t>
    </r>
    <r>
      <rPr>
        <vertAlign val="superscript"/>
        <sz val="11"/>
        <color theme="1"/>
        <rFont val="Calibri"/>
        <family val="2"/>
        <scheme val="minor"/>
      </rPr>
      <t>2</t>
    </r>
  </si>
  <si>
    <t>Result</t>
  </si>
  <si>
    <t>Tested</t>
  </si>
  <si>
    <t>MV or ACG Band 1</t>
  </si>
  <si>
    <t>Size</t>
  </si>
  <si>
    <t>ACG B1</t>
  </si>
  <si>
    <r>
      <t>ACG £/M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</si>
  <si>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ACG Tot</t>
  </si>
  <si>
    <t>Developer Cont 60.4%</t>
  </si>
  <si>
    <t>ACG Value of all dwellings</t>
  </si>
  <si>
    <t>3P2BF</t>
  </si>
  <si>
    <t>7P4BH</t>
  </si>
  <si>
    <r>
      <t>Size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</si>
  <si>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Market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</si>
  <si>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Total AH M</t>
    </r>
    <r>
      <rPr>
        <vertAlign val="superscript"/>
        <sz val="11"/>
        <color theme="1"/>
        <rFont val="Calibri"/>
        <family val="2"/>
        <scheme val="minor"/>
      </rPr>
      <t>2</t>
    </r>
  </si>
  <si>
    <t>7P3BH</t>
  </si>
  <si>
    <t>Equive RSL</t>
  </si>
  <si>
    <t>5% of ACG Tot</t>
  </si>
  <si>
    <t>Total per Dwelling</t>
  </si>
  <si>
    <t>5% Affordable Housing at Council 80/20 Mix</t>
  </si>
  <si>
    <t>2P2BF</t>
  </si>
  <si>
    <t>ACG B2</t>
  </si>
  <si>
    <t>25% of ACG Tot</t>
  </si>
  <si>
    <t>1,700 Dwellings x 25% AH</t>
  </si>
  <si>
    <t>Public Open Space, Recreation &amp; Allotments</t>
  </si>
  <si>
    <t>3 Bed Flats (conversions)</t>
  </si>
  <si>
    <t xml:space="preserve">3 Bed Terraces </t>
  </si>
  <si>
    <t>4 Bed Terraces</t>
  </si>
  <si>
    <t>Sprinklers 528 Flats @ £879</t>
  </si>
  <si>
    <t>Sprinklers 1,172 houses @ £3,075</t>
  </si>
  <si>
    <t>A4042T Roundabout &amp; Access Road</t>
  </si>
  <si>
    <t>Primary School (420 place)</t>
  </si>
  <si>
    <t xml:space="preserve">Maintenance </t>
  </si>
  <si>
    <t>3yr Bus Subsidy &amp; Shelters</t>
  </si>
  <si>
    <t>1,100 Dwellings x 25% AH</t>
  </si>
  <si>
    <t>275 AH Dwellings x 80% SR</t>
  </si>
  <si>
    <t>275 AH Dwellings x 20% LCHO</t>
  </si>
  <si>
    <t>Sprinklers 96 Flats @ £879</t>
  </si>
  <si>
    <t>Sprinklers 1,004 houses @ £3,075</t>
  </si>
  <si>
    <t>Abergavenny Road Roundabout</t>
  </si>
  <si>
    <t>20% Affordable Housing at Council 70/30 Mix</t>
  </si>
  <si>
    <t>20% Affordable Housing at Council 80/20 Mix</t>
  </si>
  <si>
    <t>MV for DAT</t>
  </si>
  <si>
    <t>External Works</t>
  </si>
  <si>
    <t>Abnormal Ground</t>
  </si>
  <si>
    <t>BCIS plus Externals</t>
  </si>
  <si>
    <t>plus 2.4% build cost inflation</t>
  </si>
  <si>
    <t>245 Market Dwellings</t>
  </si>
  <si>
    <t>Density = 350 dwellings on 8.5ha</t>
  </si>
  <si>
    <t>Sprinklers 39 flats @ £879</t>
  </si>
  <si>
    <t>Sprinklers 261 houses @ £3,075</t>
  </si>
  <si>
    <t>Density = 300 dwellings on 9.75ha</t>
  </si>
  <si>
    <t>154 Market</t>
  </si>
  <si>
    <t>Density = 220 dwellings on 5.62ha</t>
  </si>
  <si>
    <t>Sprinklers 28 flats @ £879</t>
  </si>
  <si>
    <t>Education (64 primary places)</t>
  </si>
  <si>
    <t>10% Affordable Housing at Council 80/20 Mix</t>
  </si>
  <si>
    <t>180 Market Dwellings</t>
  </si>
  <si>
    <t>Density = 200 dwellings on 5.52ha</t>
  </si>
  <si>
    <t>Education (58 -30 = 28 spaces)</t>
  </si>
  <si>
    <t>Market Dwellings</t>
  </si>
  <si>
    <r>
      <t>Commmunity Hall (0.75m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dwelling)</t>
    </r>
  </si>
  <si>
    <r>
      <t>Community Hall (0.75m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per dwelling)</t>
    </r>
  </si>
  <si>
    <r>
      <t xml:space="preserve">compared to Torfaen BCIS plus 15% for externals of </t>
    </r>
    <r>
      <rPr>
        <b/>
        <sz val="11"/>
        <color theme="1"/>
        <rFont val="Calibri"/>
        <family val="2"/>
        <scheme val="minor"/>
      </rPr>
      <t>£984</t>
    </r>
    <r>
      <rPr>
        <sz val="11"/>
        <color theme="1"/>
        <rFont val="Calibri"/>
        <family val="2"/>
        <scheme val="minor"/>
      </rPr>
      <t xml:space="preserve"> m</t>
    </r>
    <r>
      <rPr>
        <vertAlign val="superscript"/>
        <sz val="11"/>
        <color theme="1"/>
        <rFont val="Calibri"/>
        <family val="2"/>
        <scheme val="minor"/>
      </rPr>
      <t>2</t>
    </r>
  </si>
  <si>
    <t>Other Abnormals</t>
  </si>
  <si>
    <t>Special Foundations?</t>
  </si>
  <si>
    <t>Special Foundations - 50% @ £2k?</t>
  </si>
  <si>
    <t xml:space="preserve">base build with sprinklers = </t>
  </si>
  <si>
    <t>Base Build - Affordable Flats</t>
  </si>
  <si>
    <t>Base Build  - Market Housing</t>
  </si>
  <si>
    <t>Base Build - Affordable Housing</t>
  </si>
  <si>
    <t>Base Build - Affordable Units</t>
  </si>
  <si>
    <t>£/m2</t>
  </si>
  <si>
    <t>Plus 2.4% Inflation</t>
  </si>
  <si>
    <t>M2</t>
  </si>
  <si>
    <t>July 14 Cost</t>
  </si>
  <si>
    <t>Base Build m2</t>
  </si>
  <si>
    <t>Total Base Build</t>
  </si>
  <si>
    <r>
      <t xml:space="preserve">So with a total Gross Area of 135,221m2 and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plot build costs of </t>
    </r>
  </si>
  <si>
    <t>equates to BCIS plus externals</t>
  </si>
  <si>
    <t>Off-site Affordable Housing Payment</t>
  </si>
  <si>
    <t>70% Site Coal High Risk Area</t>
  </si>
  <si>
    <t xml:space="preserve">1. These are the suggested Affordable Housing units for the site in the GVA Viability Appraisal July 2014; for which an RSL would pay 37% of ACG for the Socially Rented units and </t>
  </si>
  <si>
    <t>Aug 2016 Cost</t>
  </si>
  <si>
    <t>?</t>
  </si>
  <si>
    <t>Special Foundations</t>
  </si>
  <si>
    <t>Demolition Police HQ ?</t>
  </si>
  <si>
    <r>
      <t>per unit over £100m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</si>
  <si>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over £100m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</si>
</sst>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  <numFmt numFmtId="166" formatCode="0.000"/>
    <numFmt numFmtId="167" formatCode="0.0%"/>
    <numFmt numFmtId="168" formatCode="0.0"/>
  </numFmts>
  <fonts count="5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5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FFC000"/>
      <name val="Calibri"/>
      <family val="2"/>
      <scheme val="minor"/>
    </font>
    <font>
      <sz val="10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8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/>
    <xf numFmtId="6" fontId="1" fillId="0" borderId="10" xfId="0" applyNumberFormat="1" applyFont="1" applyBorder="1" applyAlignment="1">
      <alignment horizontal="right" vertical="center"/>
    </xf>
    <xf numFmtId="0" fontId="0" fillId="0" borderId="10" xfId="0" applyFill="1" applyBorder="1" applyAlignment="1">
      <alignment horizontal="center" vertical="center" wrapText="1"/>
    </xf>
    <xf numFmtId="3" fontId="0" fillId="0" borderId="10" xfId="0" applyNumberFormat="1" applyBorder="1"/>
    <xf numFmtId="3" fontId="2" fillId="0" borderId="10" xfId="0" applyNumberFormat="1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6" fontId="2" fillId="0" borderId="1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3" fontId="0" fillId="0" borderId="0" xfId="0" applyNumberFormat="1"/>
    <xf numFmtId="0" fontId="22" fillId="0" borderId="0" xfId="0" applyFont="1" applyAlignment="1">
      <alignment horizontal="center"/>
    </xf>
    <xf numFmtId="0" fontId="22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left"/>
    </xf>
    <xf numFmtId="164" fontId="23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64" fontId="22" fillId="0" borderId="0" xfId="0" applyNumberFormat="1" applyFont="1"/>
    <xf numFmtId="6" fontId="0" fillId="0" borderId="10" xfId="0" applyNumberFormat="1" applyBorder="1" applyAlignment="1">
      <alignment horizontal="right" vertical="center"/>
    </xf>
    <xf numFmtId="6" fontId="2" fillId="0" borderId="10" xfId="0" applyNumberFormat="1" applyFont="1" applyBorder="1" applyAlignment="1">
      <alignment horizontal="right" vertical="center"/>
    </xf>
    <xf numFmtId="164" fontId="24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4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65" fontId="25" fillId="0" borderId="0" xfId="0" applyNumberFormat="1" applyFont="1"/>
    <xf numFmtId="164" fontId="25" fillId="0" borderId="0" xfId="0" applyNumberFormat="1" applyFont="1"/>
    <xf numFmtId="6" fontId="25" fillId="0" borderId="10" xfId="0" applyNumberFormat="1" applyFont="1" applyBorder="1" applyAlignment="1">
      <alignment horizontal="center" vertical="center"/>
    </xf>
    <xf numFmtId="0" fontId="0" fillId="0" borderId="10" xfId="0" applyFont="1" applyBorder="1"/>
    <xf numFmtId="0" fontId="26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164" fontId="24" fillId="0" borderId="10" xfId="0" applyNumberFormat="1" applyFont="1" applyBorder="1" applyAlignment="1">
      <alignment horizontal="center" vertical="center" wrapText="1"/>
    </xf>
    <xf numFmtId="6" fontId="24" fillId="0" borderId="10" xfId="0" applyNumberFormat="1" applyFont="1" applyBorder="1" applyAlignment="1">
      <alignment horizontal="center" vertical="center" wrapText="1"/>
    </xf>
    <xf numFmtId="8" fontId="28" fillId="0" borderId="10" xfId="0" applyNumberFormat="1" applyFont="1" applyBorder="1" applyAlignment="1">
      <alignment horizontal="center" vertical="center" wrapText="1"/>
    </xf>
    <xf numFmtId="6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6" fontId="26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/>
    </xf>
    <xf numFmtId="6" fontId="28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6" fontId="0" fillId="0" borderId="10" xfId="0" applyNumberFormat="1" applyFont="1" applyBorder="1" applyAlignment="1">
      <alignment horizontal="center" vertical="center"/>
    </xf>
    <xf numFmtId="3" fontId="0" fillId="0" borderId="10" xfId="0" applyNumberFormat="1" applyFont="1" applyBorder="1"/>
    <xf numFmtId="0" fontId="0" fillId="0" borderId="0" xfId="0" applyFont="1" applyAlignment="1">
      <alignment horizontal="center" vertical="center"/>
    </xf>
    <xf numFmtId="0" fontId="23" fillId="24" borderId="10" xfId="37" applyFont="1" applyFill="1" applyBorder="1" applyProtection="1">
      <protection locked="0"/>
    </xf>
    <xf numFmtId="0" fontId="23" fillId="24" borderId="10" xfId="37" applyFont="1" applyFill="1" applyBorder="1" applyAlignment="1" applyProtection="1">
      <alignment horizontal="center"/>
      <protection locked="0"/>
    </xf>
    <xf numFmtId="0" fontId="23" fillId="24" borderId="11" xfId="37" applyFont="1" applyFill="1" applyBorder="1" applyAlignment="1" applyProtection="1">
      <alignment horizontal="center"/>
      <protection locked="0"/>
    </xf>
    <xf numFmtId="0" fontId="27" fillId="0" borderId="10" xfId="0" applyFont="1" applyBorder="1" applyAlignment="1">
      <alignment horizontal="right" vertical="center"/>
    </xf>
    <xf numFmtId="0" fontId="27" fillId="0" borderId="10" xfId="0" applyFont="1" applyBorder="1" applyAlignment="1">
      <alignment horizontal="center" vertical="center"/>
    </xf>
    <xf numFmtId="0" fontId="24" fillId="24" borderId="10" xfId="37" applyFont="1" applyFill="1" applyBorder="1" applyProtection="1">
      <protection locked="0"/>
    </xf>
    <xf numFmtId="0" fontId="24" fillId="0" borderId="12" xfId="0" applyFont="1" applyBorder="1" applyAlignment="1">
      <alignment horizontal="center" vertical="center" wrapText="1"/>
    </xf>
    <xf numFmtId="6" fontId="0" fillId="0" borderId="10" xfId="0" applyNumberFormat="1" applyFont="1" applyBorder="1" applyAlignment="1">
      <alignment horizontal="right" vertical="center"/>
    </xf>
    <xf numFmtId="0" fontId="24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/>
    <xf numFmtId="6" fontId="26" fillId="0" borderId="1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6" fontId="0" fillId="0" borderId="0" xfId="0" applyNumberFormat="1"/>
    <xf numFmtId="0" fontId="23" fillId="0" borderId="10" xfId="0" applyFont="1" applyBorder="1" applyAlignment="1">
      <alignment horizontal="center"/>
    </xf>
    <xf numFmtId="0" fontId="26" fillId="0" borderId="0" xfId="0" applyFont="1"/>
    <xf numFmtId="6" fontId="26" fillId="0" borderId="0" xfId="0" applyNumberFormat="1" applyFont="1"/>
    <xf numFmtId="0" fontId="0" fillId="0" borderId="10" xfId="0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6" fontId="29" fillId="0" borderId="10" xfId="0" applyNumberFormat="1" applyFont="1" applyBorder="1" applyAlignment="1">
      <alignment horizontal="center" vertical="center" wrapText="1"/>
    </xf>
    <xf numFmtId="6" fontId="30" fillId="0" borderId="10" xfId="0" applyNumberFormat="1" applyFont="1" applyBorder="1" applyAlignment="1">
      <alignment horizontal="center" vertical="center" wrapText="1"/>
    </xf>
    <xf numFmtId="6" fontId="25" fillId="0" borderId="10" xfId="0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6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6" fontId="26" fillId="0" borderId="0" xfId="0" applyNumberFormat="1" applyFont="1" applyBorder="1" applyAlignment="1">
      <alignment horizontal="right" vertical="center"/>
    </xf>
    <xf numFmtId="0" fontId="31" fillId="0" borderId="10" xfId="0" applyFont="1" applyBorder="1"/>
    <xf numFmtId="164" fontId="31" fillId="0" borderId="10" xfId="0" applyNumberFormat="1" applyFont="1" applyBorder="1" applyAlignment="1">
      <alignment horizontal="right"/>
    </xf>
    <xf numFmtId="0" fontId="25" fillId="0" borderId="10" xfId="0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3" fontId="0" fillId="0" borderId="0" xfId="0" applyNumberFormat="1" applyFont="1"/>
    <xf numFmtId="0" fontId="24" fillId="0" borderId="10" xfId="0" applyFont="1" applyBorder="1"/>
    <xf numFmtId="0" fontId="0" fillId="0" borderId="0" xfId="0" applyFill="1" applyBorder="1" applyAlignment="1">
      <alignment horizontal="center" vertical="center" wrapText="1"/>
    </xf>
    <xf numFmtId="0" fontId="24" fillId="24" borderId="10" xfId="37" applyFont="1" applyFill="1" applyBorder="1" applyAlignment="1" applyProtection="1">
      <alignment horizontal="left"/>
      <protection locked="0"/>
    </xf>
    <xf numFmtId="6" fontId="26" fillId="0" borderId="10" xfId="0" applyNumberFormat="1" applyFont="1" applyBorder="1"/>
    <xf numFmtId="164" fontId="26" fillId="0" borderId="10" xfId="0" applyNumberFormat="1" applyFont="1" applyBorder="1" applyAlignment="1">
      <alignment horizontal="center" vertical="center"/>
    </xf>
    <xf numFmtId="6" fontId="25" fillId="0" borderId="0" xfId="0" applyNumberFormat="1" applyFon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6" fontId="24" fillId="0" borderId="10" xfId="0" applyNumberFormat="1" applyFont="1" applyFill="1" applyBorder="1" applyAlignment="1">
      <alignment horizontal="center" vertical="center" wrapText="1"/>
    </xf>
    <xf numFmtId="6" fontId="28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/>
    </xf>
    <xf numFmtId="8" fontId="0" fillId="0" borderId="10" xfId="0" applyNumberFormat="1" applyFill="1" applyBorder="1" applyAlignment="1">
      <alignment horizontal="center" vertical="center"/>
    </xf>
    <xf numFmtId="6" fontId="0" fillId="0" borderId="10" xfId="0" applyNumberFormat="1" applyFill="1" applyBorder="1" applyAlignment="1">
      <alignment horizontal="center" vertical="center"/>
    </xf>
    <xf numFmtId="6" fontId="24" fillId="0" borderId="10" xfId="0" applyNumberFormat="1" applyFont="1" applyFill="1" applyBorder="1" applyAlignment="1">
      <alignment horizontal="center" vertical="center"/>
    </xf>
    <xf numFmtId="3" fontId="28" fillId="0" borderId="10" xfId="0" applyNumberFormat="1" applyFont="1" applyBorder="1"/>
    <xf numFmtId="6" fontId="32" fillId="0" borderId="0" xfId="0" applyNumberFormat="1" applyFont="1"/>
    <xf numFmtId="0" fontId="32" fillId="0" borderId="0" xfId="0" applyFont="1"/>
    <xf numFmtId="3" fontId="33" fillId="0" borderId="10" xfId="0" applyNumberFormat="1" applyFont="1" applyBorder="1" applyAlignment="1">
      <alignment horizontal="center"/>
    </xf>
    <xf numFmtId="3" fontId="33" fillId="0" borderId="10" xfId="0" applyNumberFormat="1" applyFont="1" applyBorder="1"/>
    <xf numFmtId="1" fontId="0" fillId="0" borderId="0" xfId="0" applyNumberFormat="1"/>
    <xf numFmtId="166" fontId="0" fillId="0" borderId="0" xfId="0" applyNumberFormat="1"/>
    <xf numFmtId="0" fontId="2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31" fillId="0" borderId="0" xfId="0" applyFont="1" applyBorder="1"/>
    <xf numFmtId="0" fontId="26" fillId="0" borderId="0" xfId="0" applyFont="1" applyBorder="1"/>
    <xf numFmtId="3" fontId="0" fillId="0" borderId="0" xfId="0" applyNumberFormat="1" applyFont="1" applyBorder="1"/>
    <xf numFmtId="164" fontId="28" fillId="0" borderId="0" xfId="0" applyNumberFormat="1" applyFont="1"/>
    <xf numFmtId="0" fontId="25" fillId="0" borderId="0" xfId="0" applyFont="1"/>
    <xf numFmtId="0" fontId="0" fillId="0" borderId="0" xfId="0" applyFill="1"/>
    <xf numFmtId="164" fontId="0" fillId="0" borderId="10" xfId="0" applyNumberFormat="1" applyBorder="1"/>
    <xf numFmtId="6" fontId="23" fillId="0" borderId="10" xfId="0" applyNumberFormat="1" applyFont="1" applyBorder="1" applyAlignment="1">
      <alignment horizontal="center" vertical="center" wrapText="1"/>
    </xf>
    <xf numFmtId="6" fontId="23" fillId="0" borderId="10" xfId="0" applyNumberFormat="1" applyFont="1" applyBorder="1" applyAlignment="1">
      <alignment horizontal="center" vertical="center"/>
    </xf>
    <xf numFmtId="6" fontId="21" fillId="0" borderId="10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/>
    <xf numFmtId="0" fontId="23" fillId="0" borderId="0" xfId="0" applyFont="1"/>
    <xf numFmtId="164" fontId="23" fillId="0" borderId="0" xfId="0" applyNumberFormat="1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3" fontId="23" fillId="0" borderId="10" xfId="0" applyNumberFormat="1" applyFont="1" applyBorder="1"/>
    <xf numFmtId="3" fontId="21" fillId="0" borderId="10" xfId="0" applyNumberFormat="1" applyFont="1" applyBorder="1"/>
    <xf numFmtId="168" fontId="0" fillId="0" borderId="0" xfId="0" applyNumberFormat="1"/>
    <xf numFmtId="0" fontId="2" fillId="0" borderId="0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 vertical="center"/>
    </xf>
    <xf numFmtId="3" fontId="33" fillId="0" borderId="0" xfId="0" applyNumberFormat="1" applyFont="1" applyFill="1" applyBorder="1"/>
    <xf numFmtId="3" fontId="2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/>
    </xf>
    <xf numFmtId="2" fontId="0" fillId="0" borderId="0" xfId="0" applyNumberFormat="1" applyFont="1"/>
    <xf numFmtId="168" fontId="0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164" fontId="2" fillId="0" borderId="10" xfId="0" applyNumberFormat="1" applyFont="1" applyBorder="1"/>
    <xf numFmtId="164" fontId="1" fillId="0" borderId="0" xfId="0" applyNumberFormat="1" applyFont="1" applyBorder="1"/>
    <xf numFmtId="164" fontId="26" fillId="0" borderId="1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6" fillId="0" borderId="0" xfId="0" applyNumberFormat="1" applyFont="1" applyBorder="1"/>
    <xf numFmtId="0" fontId="0" fillId="0" borderId="0" xfId="0" applyFill="1" applyBorder="1" applyAlignment="1">
      <alignment horizontal="right" vertical="center"/>
    </xf>
    <xf numFmtId="6" fontId="0" fillId="0" borderId="10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8" fontId="0" fillId="0" borderId="10" xfId="0" applyNumberFormat="1" applyBorder="1"/>
    <xf numFmtId="0" fontId="2" fillId="0" borderId="16" xfId="0" applyFont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/>
    </xf>
    <xf numFmtId="164" fontId="21" fillId="0" borderId="16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6" fontId="26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2" fontId="0" fillId="0" borderId="0" xfId="0" applyNumberFormat="1" applyFont="1" applyBorder="1"/>
    <xf numFmtId="0" fontId="25" fillId="0" borderId="0" xfId="0" applyFont="1" applyBorder="1"/>
    <xf numFmtId="167" fontId="25" fillId="0" borderId="0" xfId="0" applyNumberFormat="1" applyFont="1" applyBorder="1"/>
    <xf numFmtId="0" fontId="1" fillId="0" borderId="0" xfId="0" applyFont="1" applyBorder="1"/>
    <xf numFmtId="167" fontId="1" fillId="0" borderId="0" xfId="0" applyNumberFormat="1" applyFont="1" applyBorder="1"/>
    <xf numFmtId="0" fontId="23" fillId="0" borderId="0" xfId="0" applyFont="1" applyBorder="1"/>
    <xf numFmtId="164" fontId="25" fillId="0" borderId="0" xfId="0" applyNumberFormat="1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25" borderId="10" xfId="0" applyFont="1" applyFill="1" applyBorder="1" applyAlignment="1">
      <alignment vertical="center"/>
    </xf>
    <xf numFmtId="6" fontId="39" fillId="0" borderId="10" xfId="0" applyNumberFormat="1" applyFont="1" applyBorder="1" applyAlignment="1">
      <alignment horizontal="center" vertical="center"/>
    </xf>
    <xf numFmtId="6" fontId="39" fillId="0" borderId="10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10" xfId="0" applyFont="1" applyBorder="1" applyAlignment="1">
      <alignment horizontal="left" vertical="center" wrapText="1"/>
    </xf>
    <xf numFmtId="8" fontId="21" fillId="0" borderId="10" xfId="0" applyNumberFormat="1" applyFont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center"/>
    </xf>
    <xf numFmtId="164" fontId="39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6" fontId="40" fillId="0" borderId="10" xfId="0" applyNumberFormat="1" applyFont="1" applyBorder="1" applyAlignment="1">
      <alignment horizontal="center" vertical="center" wrapText="1"/>
    </xf>
    <xf numFmtId="6" fontId="41" fillId="0" borderId="10" xfId="0" applyNumberFormat="1" applyFont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26" fillId="0" borderId="0" xfId="0" applyNumberFormat="1" applyFont="1"/>
    <xf numFmtId="6" fontId="0" fillId="0" borderId="10" xfId="0" applyNumberFormat="1" applyBorder="1"/>
    <xf numFmtId="0" fontId="42" fillId="0" borderId="0" xfId="0" applyFont="1" applyFill="1" applyBorder="1"/>
    <xf numFmtId="164" fontId="42" fillId="0" borderId="0" xfId="0" applyNumberFormat="1" applyFont="1" applyAlignment="1">
      <alignment horizontal="right"/>
    </xf>
    <xf numFmtId="0" fontId="42" fillId="0" borderId="0" xfId="0" applyFont="1"/>
    <xf numFmtId="6" fontId="0" fillId="0" borderId="0" xfId="0" applyNumberFormat="1" applyFont="1" applyBorder="1" applyAlignment="1">
      <alignment horizontal="justify" vertical="center"/>
    </xf>
    <xf numFmtId="164" fontId="43" fillId="0" borderId="0" xfId="0" applyNumberFormat="1" applyFont="1" applyAlignment="1">
      <alignment horizontal="right"/>
    </xf>
    <xf numFmtId="0" fontId="43" fillId="0" borderId="0" xfId="0" applyFont="1"/>
    <xf numFmtId="165" fontId="1" fillId="0" borderId="0" xfId="0" applyNumberFormat="1" applyFont="1" applyBorder="1" applyAlignment="1">
      <alignment horizontal="center" vertical="center"/>
    </xf>
    <xf numFmtId="164" fontId="44" fillId="0" borderId="0" xfId="0" applyNumberFormat="1" applyFont="1"/>
    <xf numFmtId="165" fontId="23" fillId="0" borderId="0" xfId="0" applyNumberFormat="1" applyFont="1" applyAlignment="1">
      <alignment horizontal="right"/>
    </xf>
    <xf numFmtId="6" fontId="2" fillId="0" borderId="0" xfId="0" applyNumberFormat="1" applyFont="1"/>
    <xf numFmtId="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6" fontId="1" fillId="0" borderId="0" xfId="0" applyNumberFormat="1" applyFont="1" applyBorder="1" applyAlignment="1">
      <alignment horizontal="right" vertical="center"/>
    </xf>
    <xf numFmtId="3" fontId="33" fillId="0" borderId="0" xfId="0" applyNumberFormat="1" applyFont="1" applyBorder="1"/>
    <xf numFmtId="6" fontId="1" fillId="0" borderId="0" xfId="0" applyNumberFormat="1" applyFont="1"/>
    <xf numFmtId="6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3" fontId="24" fillId="0" borderId="10" xfId="0" applyNumberFormat="1" applyFont="1" applyFill="1" applyBorder="1" applyAlignment="1">
      <alignment horizontal="center"/>
    </xf>
    <xf numFmtId="6" fontId="32" fillId="0" borderId="10" xfId="0" applyNumberFormat="1" applyFont="1" applyBorder="1" applyAlignment="1">
      <alignment horizontal="center" vertical="center"/>
    </xf>
    <xf numFmtId="0" fontId="46" fillId="0" borderId="0" xfId="0" applyFont="1"/>
    <xf numFmtId="6" fontId="47" fillId="0" borderId="0" xfId="0" applyNumberFormat="1" applyFont="1"/>
    <xf numFmtId="0" fontId="48" fillId="0" borderId="0" xfId="0" applyFont="1"/>
    <xf numFmtId="164" fontId="48" fillId="0" borderId="0" xfId="0" applyNumberFormat="1" applyFont="1" applyAlignment="1">
      <alignment horizontal="right"/>
    </xf>
    <xf numFmtId="8" fontId="0" fillId="0" borderId="0" xfId="0" applyNumberFormat="1"/>
    <xf numFmtId="165" fontId="0" fillId="0" borderId="0" xfId="0" applyNumberFormat="1"/>
    <xf numFmtId="164" fontId="49" fillId="0" borderId="0" xfId="0" applyNumberFormat="1" applyFont="1"/>
    <xf numFmtId="3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23" fillId="0" borderId="0" xfId="0" applyNumberFormat="1" applyFont="1" applyAlignment="1">
      <alignment horizontal="center"/>
    </xf>
    <xf numFmtId="6" fontId="23" fillId="0" borderId="0" xfId="0" applyNumberFormat="1" applyFont="1" applyAlignment="1">
      <alignment horizontal="center"/>
    </xf>
    <xf numFmtId="165" fontId="0" fillId="0" borderId="0" xfId="0" applyNumberFormat="1" applyFont="1"/>
    <xf numFmtId="0" fontId="32" fillId="0" borderId="10" xfId="0" applyFont="1" applyFill="1" applyBorder="1" applyAlignment="1">
      <alignment horizontal="center" vertical="center" wrapText="1"/>
    </xf>
    <xf numFmtId="0" fontId="32" fillId="0" borderId="10" xfId="0" applyFont="1" applyBorder="1"/>
    <xf numFmtId="3" fontId="32" fillId="0" borderId="10" xfId="0" applyNumberFormat="1" applyFont="1" applyBorder="1"/>
    <xf numFmtId="0" fontId="32" fillId="0" borderId="10" xfId="0" applyFont="1" applyFill="1" applyBorder="1"/>
    <xf numFmtId="164" fontId="32" fillId="0" borderId="10" xfId="0" applyNumberFormat="1" applyFont="1" applyBorder="1"/>
    <xf numFmtId="164" fontId="50" fillId="0" borderId="0" xfId="0" applyNumberFormat="1" applyFont="1" applyFill="1"/>
    <xf numFmtId="164" fontId="23" fillId="0" borderId="0" xfId="0" applyNumberFormat="1" applyFont="1" applyFill="1" applyAlignment="1">
      <alignment horizontal="center"/>
    </xf>
    <xf numFmtId="6" fontId="23" fillId="0" borderId="0" xfId="0" applyNumberFormat="1" applyFont="1" applyFill="1" applyAlignment="1">
      <alignment horizontal="center"/>
    </xf>
    <xf numFmtId="3" fontId="0" fillId="0" borderId="0" xfId="0" applyNumberFormat="1" applyFill="1"/>
    <xf numFmtId="164" fontId="21" fillId="0" borderId="0" xfId="0" applyNumberFormat="1" applyFont="1"/>
    <xf numFmtId="0" fontId="23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165" fontId="2" fillId="0" borderId="0" xfId="0" applyNumberFormat="1" applyFont="1"/>
    <xf numFmtId="8" fontId="2" fillId="0" borderId="0" xfId="0" applyNumberFormat="1" applyFont="1"/>
    <xf numFmtId="9" fontId="0" fillId="0" borderId="0" xfId="0" applyNumberFormat="1"/>
    <xf numFmtId="0" fontId="26" fillId="0" borderId="13" xfId="0" applyFont="1" applyBorder="1" applyAlignment="1">
      <alignment horizontal="right"/>
    </xf>
    <xf numFmtId="0" fontId="26" fillId="0" borderId="11" xfId="0" applyFont="1" applyBorder="1" applyAlignment="1">
      <alignment horizontal="right"/>
    </xf>
    <xf numFmtId="0" fontId="26" fillId="0" borderId="13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26" fillId="0" borderId="14" xfId="0" applyFont="1" applyBorder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32" fillId="0" borderId="10" xfId="0" applyFont="1" applyBorder="1" applyAlignment="1">
      <alignment horizontal="center" wrapText="1"/>
    </xf>
    <xf numFmtId="165" fontId="0" fillId="0" borderId="10" xfId="0" applyNumberFormat="1" applyFont="1" applyBorder="1"/>
    <xf numFmtId="164" fontId="38" fillId="0" borderId="0" xfId="0" applyNumberFormat="1" applyFont="1"/>
    <xf numFmtId="164" fontId="43" fillId="0" borderId="0" xfId="0" applyNumberFormat="1" applyFont="1"/>
    <xf numFmtId="164" fontId="42" fillId="0" borderId="0" xfId="0" applyNumberFormat="1" applyFont="1"/>
    <xf numFmtId="0" fontId="38" fillId="0" borderId="0" xfId="0" applyFont="1"/>
    <xf numFmtId="164" fontId="25" fillId="0" borderId="0" xfId="0" applyNumberFormat="1" applyFont="1" applyAlignment="1">
      <alignment horizontal="right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8"/>
    <cellStyle name="Normal_Animal Pound" xfId="37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zoomScaleNormal="100" workbookViewId="0">
      <selection activeCell="M23" sqref="M23:M24"/>
    </sheetView>
  </sheetViews>
  <sheetFormatPr defaultRowHeight="15" x14ac:dyDescent="0.25"/>
  <cols>
    <col min="1" max="1" width="4.7109375" customWidth="1"/>
    <col min="2" max="2" width="37.42578125" customWidth="1"/>
    <col min="3" max="3" width="8.5703125" bestFit="1" customWidth="1"/>
    <col min="4" max="4" width="5.28515625" customWidth="1"/>
    <col min="5" max="5" width="20.5703125" customWidth="1"/>
    <col min="6" max="6" width="12.28515625" customWidth="1"/>
    <col min="7" max="7" width="10.42578125" customWidth="1"/>
    <col min="8" max="8" width="16.85546875" customWidth="1"/>
    <col min="9" max="9" width="12.7109375" customWidth="1"/>
    <col min="10" max="10" width="24.5703125" bestFit="1" customWidth="1"/>
    <col min="11" max="11" width="12.28515625" customWidth="1"/>
    <col min="12" max="12" width="8.7109375" customWidth="1"/>
  </cols>
  <sheetData>
    <row r="1" spans="2:12" x14ac:dyDescent="0.25">
      <c r="B1" s="16" t="s">
        <v>255</v>
      </c>
    </row>
    <row r="2" spans="2:12" ht="48" customHeight="1" x14ac:dyDescent="0.25">
      <c r="B2" s="3" t="s">
        <v>0</v>
      </c>
      <c r="C2" s="2" t="s">
        <v>1</v>
      </c>
      <c r="D2" s="2" t="s">
        <v>259</v>
      </c>
      <c r="E2" s="2" t="s">
        <v>2</v>
      </c>
      <c r="F2" s="2" t="s">
        <v>260</v>
      </c>
      <c r="G2" s="2" t="s">
        <v>20</v>
      </c>
      <c r="H2" s="2" t="s">
        <v>261</v>
      </c>
      <c r="I2" s="2" t="s">
        <v>23</v>
      </c>
      <c r="J2" s="2" t="s">
        <v>256</v>
      </c>
      <c r="K2" s="2" t="s">
        <v>257</v>
      </c>
      <c r="L2" s="2" t="s">
        <v>262</v>
      </c>
    </row>
    <row r="3" spans="2:12" x14ac:dyDescent="0.25">
      <c r="B3" s="3" t="s">
        <v>4</v>
      </c>
      <c r="C3" s="3">
        <v>2</v>
      </c>
      <c r="D3" s="3">
        <v>84.6</v>
      </c>
      <c r="E3" s="3" t="s">
        <v>21</v>
      </c>
      <c r="F3" s="3">
        <v>83</v>
      </c>
      <c r="G3" s="4">
        <v>127100</v>
      </c>
      <c r="H3" s="5">
        <f>SUM(G3/F3)</f>
        <v>1531.3253012048192</v>
      </c>
      <c r="I3" s="4">
        <f>SUM((C3*H3)*D3)</f>
        <v>259100.24096385538</v>
      </c>
      <c r="J3" s="3"/>
      <c r="K3" s="3"/>
      <c r="L3" s="10">
        <f>SUM(C3*D3)</f>
        <v>169.2</v>
      </c>
    </row>
    <row r="4" spans="2:12" x14ac:dyDescent="0.25">
      <c r="B4" s="3" t="s">
        <v>5</v>
      </c>
      <c r="C4" s="3">
        <v>10</v>
      </c>
      <c r="D4" s="3">
        <v>86.7</v>
      </c>
      <c r="E4" s="3" t="s">
        <v>24</v>
      </c>
      <c r="F4" s="3">
        <v>88</v>
      </c>
      <c r="G4" s="4">
        <v>133500</v>
      </c>
      <c r="H4" s="5">
        <f t="shared" ref="H4:H6" si="0">SUM(G4/F4)</f>
        <v>1517.0454545454545</v>
      </c>
      <c r="I4" s="4">
        <f t="shared" ref="I4:I6" si="1">SUM((C4*H4)*D4)</f>
        <v>1315278.4090909089</v>
      </c>
      <c r="J4" s="3"/>
      <c r="K4" s="3"/>
      <c r="L4" s="10">
        <f t="shared" ref="L4:L6" si="2">SUM(C4*D4)</f>
        <v>867</v>
      </c>
    </row>
    <row r="5" spans="2:12" x14ac:dyDescent="0.25">
      <c r="B5" s="3" t="s">
        <v>6</v>
      </c>
      <c r="C5" s="3">
        <v>10</v>
      </c>
      <c r="D5" s="3">
        <v>92.5</v>
      </c>
      <c r="E5" s="3" t="s">
        <v>9</v>
      </c>
      <c r="F5" s="3">
        <v>94</v>
      </c>
      <c r="G5" s="4">
        <v>142600</v>
      </c>
      <c r="H5" s="5">
        <f t="shared" si="0"/>
        <v>1517.0212765957447</v>
      </c>
      <c r="I5" s="4">
        <f t="shared" si="1"/>
        <v>1403244.6808510639</v>
      </c>
      <c r="J5" s="3"/>
      <c r="K5" s="3"/>
      <c r="L5" s="10">
        <f t="shared" si="2"/>
        <v>925</v>
      </c>
    </row>
    <row r="6" spans="2:12" x14ac:dyDescent="0.25">
      <c r="B6" s="3" t="s">
        <v>7</v>
      </c>
      <c r="C6" s="3">
        <v>4</v>
      </c>
      <c r="D6" s="3">
        <v>110</v>
      </c>
      <c r="E6" s="3" t="s">
        <v>25</v>
      </c>
      <c r="F6" s="3">
        <v>110</v>
      </c>
      <c r="G6" s="4">
        <v>176300</v>
      </c>
      <c r="H6" s="5">
        <f t="shared" si="0"/>
        <v>1602.7272727272727</v>
      </c>
      <c r="I6" s="4">
        <f t="shared" si="1"/>
        <v>705200</v>
      </c>
      <c r="J6" s="3"/>
      <c r="K6" s="3"/>
      <c r="L6" s="10">
        <f t="shared" si="2"/>
        <v>440</v>
      </c>
    </row>
    <row r="7" spans="2:12" ht="15.75" x14ac:dyDescent="0.25">
      <c r="B7" s="6" t="s">
        <v>3</v>
      </c>
      <c r="C7" s="17">
        <f>SUM(C3:C6)</f>
        <v>26</v>
      </c>
      <c r="D7" s="3"/>
      <c r="E7" s="7"/>
      <c r="F7" s="3"/>
      <c r="G7" s="3"/>
      <c r="H7" s="6" t="s">
        <v>8</v>
      </c>
      <c r="I7" s="4">
        <f>SUM(I3:I6)</f>
        <v>3682823.3309058282</v>
      </c>
      <c r="J7" s="55">
        <f>SUM(I7*0.05)</f>
        <v>184141.16654529143</v>
      </c>
      <c r="K7" s="65">
        <f>SUM(J7*0.604)</f>
        <v>111221.26459335603</v>
      </c>
      <c r="L7" s="11">
        <f>SUM(L3:L6)</f>
        <v>2401.1999999999998</v>
      </c>
    </row>
    <row r="8" spans="2:12" ht="15" customHeight="1" x14ac:dyDescent="0.25"/>
    <row r="9" spans="2:12" x14ac:dyDescent="0.25">
      <c r="B9" s="16" t="s">
        <v>56</v>
      </c>
      <c r="C9" s="21" t="s">
        <v>57</v>
      </c>
      <c r="I9" s="20"/>
    </row>
    <row r="10" spans="2:12" s="35" customFormat="1" ht="15.75" x14ac:dyDescent="0.25">
      <c r="B10" s="35" t="s">
        <v>131</v>
      </c>
      <c r="C10" s="31">
        <f>SUM(26*3075)</f>
        <v>79950</v>
      </c>
      <c r="I10" s="40"/>
      <c r="J10" s="90"/>
      <c r="K10" s="91"/>
    </row>
    <row r="11" spans="2:12" s="35" customFormat="1" ht="6.75" customHeight="1" x14ac:dyDescent="0.25">
      <c r="C11" s="31"/>
      <c r="I11" s="40"/>
      <c r="J11" s="90"/>
      <c r="K11" s="91"/>
    </row>
    <row r="12" spans="2:12" x14ac:dyDescent="0.25">
      <c r="B12" t="s">
        <v>113</v>
      </c>
      <c r="C12" s="34">
        <v>10000</v>
      </c>
      <c r="E12" s="296">
        <f>SUM(C12:C13)</f>
        <v>25000</v>
      </c>
      <c r="F12" s="299" t="s">
        <v>124</v>
      </c>
    </row>
    <row r="13" spans="2:12" x14ac:dyDescent="0.25">
      <c r="B13" t="s">
        <v>120</v>
      </c>
      <c r="C13" s="34">
        <v>15000</v>
      </c>
      <c r="E13" s="299"/>
      <c r="F13" s="299"/>
    </row>
    <row r="14" spans="2:12" x14ac:dyDescent="0.25">
      <c r="B14" t="s">
        <v>114</v>
      </c>
      <c r="C14" s="34">
        <v>15000</v>
      </c>
      <c r="E14" s="296">
        <f>SUM(C14:C19)</f>
        <v>390000</v>
      </c>
      <c r="F14" s="299" t="s">
        <v>125</v>
      </c>
    </row>
    <row r="15" spans="2:12" x14ac:dyDescent="0.25">
      <c r="B15" t="s">
        <v>115</v>
      </c>
      <c r="C15" s="34">
        <v>176500</v>
      </c>
      <c r="E15" s="299"/>
      <c r="F15" s="299"/>
    </row>
    <row r="16" spans="2:12" x14ac:dyDescent="0.25">
      <c r="B16" t="s">
        <v>116</v>
      </c>
      <c r="C16" s="34">
        <v>45000</v>
      </c>
      <c r="E16" s="299"/>
      <c r="F16" s="299"/>
    </row>
    <row r="17" spans="2:13" x14ac:dyDescent="0.25">
      <c r="B17" t="s">
        <v>117</v>
      </c>
      <c r="C17" s="34">
        <v>25500</v>
      </c>
      <c r="E17" s="299"/>
      <c r="F17" s="299"/>
    </row>
    <row r="18" spans="2:13" x14ac:dyDescent="0.25">
      <c r="B18" t="s">
        <v>129</v>
      </c>
      <c r="C18" s="34">
        <v>107000</v>
      </c>
      <c r="E18" s="299"/>
      <c r="F18" s="299"/>
    </row>
    <row r="19" spans="2:13" x14ac:dyDescent="0.25">
      <c r="B19" t="s">
        <v>118</v>
      </c>
      <c r="C19" s="34">
        <v>21000</v>
      </c>
      <c r="E19" s="299"/>
      <c r="F19" s="299"/>
    </row>
    <row r="20" spans="2:13" x14ac:dyDescent="0.25">
      <c r="B20" t="s">
        <v>127</v>
      </c>
      <c r="C20" s="34">
        <v>5000</v>
      </c>
      <c r="E20" s="296">
        <f>C20</f>
        <v>5000</v>
      </c>
      <c r="F20" s="299" t="s">
        <v>128</v>
      </c>
    </row>
    <row r="21" spans="2:13" ht="17.25" x14ac:dyDescent="0.25">
      <c r="B21" s="22" t="s">
        <v>3</v>
      </c>
      <c r="C21" s="30">
        <f>SUM(C10:C20)</f>
        <v>499950</v>
      </c>
      <c r="E21" s="54"/>
      <c r="K21" s="21" t="s">
        <v>56</v>
      </c>
      <c r="L21" s="54">
        <f>SUM((C21-C10)/L7)</f>
        <v>174.91254372813594</v>
      </c>
      <c r="M21" t="s">
        <v>258</v>
      </c>
    </row>
    <row r="22" spans="2:13" ht="7.5" customHeight="1" x14ac:dyDescent="0.25">
      <c r="K22" s="21"/>
      <c r="L22" s="20"/>
    </row>
    <row r="23" spans="2:13" ht="15" customHeight="1" x14ac:dyDescent="0.25">
      <c r="B23" s="41" t="s">
        <v>121</v>
      </c>
      <c r="C23" s="42" t="s">
        <v>57</v>
      </c>
      <c r="K23" s="21" t="s">
        <v>56</v>
      </c>
      <c r="L23" s="30">
        <f>SUM((L21-100)*L7)</f>
        <v>179880.00000000003</v>
      </c>
      <c r="M23" t="s">
        <v>350</v>
      </c>
    </row>
    <row r="24" spans="2:13" s="35" customFormat="1" ht="15" customHeight="1" x14ac:dyDescent="0.25">
      <c r="B24" s="43" t="s">
        <v>130</v>
      </c>
      <c r="C24" s="31" t="s">
        <v>91</v>
      </c>
      <c r="K24" s="49" t="s">
        <v>56</v>
      </c>
      <c r="L24" s="54">
        <f>SUM(L23/C7)</f>
        <v>6918.4615384615399</v>
      </c>
      <c r="M24" s="35" t="s">
        <v>349</v>
      </c>
    </row>
    <row r="25" spans="2:13" s="35" customFormat="1" ht="15" customHeight="1" x14ac:dyDescent="0.25">
      <c r="B25" t="s">
        <v>90</v>
      </c>
      <c r="C25" s="48" t="s">
        <v>91</v>
      </c>
    </row>
    <row r="26" spans="2:13" ht="7.5" customHeight="1" x14ac:dyDescent="0.25"/>
    <row r="27" spans="2:13" x14ac:dyDescent="0.25">
      <c r="B27" s="16" t="s">
        <v>72</v>
      </c>
    </row>
    <row r="28" spans="2:13" x14ac:dyDescent="0.25">
      <c r="B28" t="s">
        <v>218</v>
      </c>
      <c r="C28" s="47">
        <f>26*224</f>
        <v>5824</v>
      </c>
      <c r="E28" s="47">
        <f>SUM(C28:C30)</f>
        <v>48568</v>
      </c>
      <c r="F28" s="50" t="s">
        <v>126</v>
      </c>
      <c r="J28" s="47"/>
      <c r="K28" s="50"/>
    </row>
    <row r="29" spans="2:13" x14ac:dyDescent="0.25">
      <c r="B29" t="s">
        <v>216</v>
      </c>
      <c r="C29" s="47">
        <f>26*508</f>
        <v>13208</v>
      </c>
      <c r="E29" s="50"/>
      <c r="F29" s="50"/>
    </row>
    <row r="30" spans="2:13" x14ac:dyDescent="0.25">
      <c r="B30" t="s">
        <v>217</v>
      </c>
      <c r="C30" s="47">
        <f>26*1136</f>
        <v>29536</v>
      </c>
      <c r="E30" s="47"/>
      <c r="F30" s="50"/>
    </row>
    <row r="31" spans="2:13" x14ac:dyDescent="0.25">
      <c r="B31" t="s">
        <v>119</v>
      </c>
      <c r="C31" s="20">
        <v>20000</v>
      </c>
      <c r="E31" s="54"/>
      <c r="J31" s="47"/>
      <c r="K31" s="50"/>
    </row>
    <row r="32" spans="2:13" x14ac:dyDescent="0.25">
      <c r="B32" s="22" t="s">
        <v>3</v>
      </c>
      <c r="C32" s="30">
        <f>SUM(C28:C31)</f>
        <v>68568</v>
      </c>
      <c r="E32" s="30">
        <f>C32/C7</f>
        <v>2637.2307692307691</v>
      </c>
      <c r="F32" s="140" t="s">
        <v>219</v>
      </c>
    </row>
    <row r="34" spans="2:10" x14ac:dyDescent="0.25">
      <c r="B34" s="16" t="s">
        <v>342</v>
      </c>
      <c r="C34" s="249">
        <f>K7</f>
        <v>111221.26459335603</v>
      </c>
      <c r="J34" s="13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topLeftCell="A7" zoomScale="110" zoomScaleNormal="110" workbookViewId="0">
      <selection activeCell="P35" sqref="P35"/>
    </sheetView>
  </sheetViews>
  <sheetFormatPr defaultRowHeight="15" x14ac:dyDescent="0.25"/>
  <cols>
    <col min="1" max="1" width="4.5703125" customWidth="1"/>
    <col min="2" max="2" width="26.28515625" bestFit="1" customWidth="1"/>
    <col min="3" max="3" width="4" customWidth="1"/>
    <col min="4" max="4" width="9.7109375" bestFit="1" customWidth="1"/>
    <col min="5" max="5" width="4.85546875" customWidth="1"/>
    <col min="6" max="6" width="28.5703125" customWidth="1"/>
    <col min="7" max="7" width="10.140625" bestFit="1" customWidth="1"/>
    <col min="8" max="8" width="5.5703125" customWidth="1"/>
    <col min="9" max="9" width="20.5703125" bestFit="1" customWidth="1"/>
    <col min="10" max="10" width="10.5703125" customWidth="1"/>
    <col min="11" max="11" width="10.85546875" customWidth="1"/>
    <col min="12" max="12" width="11" customWidth="1"/>
    <col min="13" max="13" width="11.85546875" bestFit="1" customWidth="1"/>
    <col min="14" max="14" width="20.5703125" bestFit="1" customWidth="1"/>
    <col min="15" max="15" width="12.42578125" customWidth="1"/>
    <col min="16" max="16" width="10.140625" bestFit="1" customWidth="1"/>
    <col min="17" max="17" width="4.85546875" customWidth="1"/>
    <col min="18" max="18" width="10.28515625" bestFit="1" customWidth="1"/>
  </cols>
  <sheetData>
    <row r="1" spans="2:18" x14ac:dyDescent="0.25">
      <c r="B1" t="s">
        <v>188</v>
      </c>
      <c r="C1" s="29">
        <f>220*0.3</f>
        <v>66</v>
      </c>
      <c r="D1" t="s">
        <v>187</v>
      </c>
      <c r="F1" s="16" t="s">
        <v>231</v>
      </c>
    </row>
    <row r="2" spans="2:18" ht="30" x14ac:dyDescent="0.25">
      <c r="B2" t="s">
        <v>190</v>
      </c>
      <c r="C2" s="168">
        <v>53</v>
      </c>
      <c r="D2" t="s">
        <v>187</v>
      </c>
      <c r="F2" s="2" t="s">
        <v>0</v>
      </c>
      <c r="G2" s="2" t="s">
        <v>53</v>
      </c>
      <c r="H2" s="2" t="s">
        <v>161</v>
      </c>
      <c r="I2" s="2" t="s">
        <v>174</v>
      </c>
      <c r="J2" s="2" t="s">
        <v>171</v>
      </c>
      <c r="K2" s="69" t="s">
        <v>159</v>
      </c>
      <c r="L2" s="2" t="s">
        <v>176</v>
      </c>
      <c r="M2" s="2" t="s">
        <v>169</v>
      </c>
      <c r="N2" s="9" t="s">
        <v>32</v>
      </c>
      <c r="O2" s="9" t="s">
        <v>160</v>
      </c>
      <c r="P2" s="9" t="s">
        <v>192</v>
      </c>
    </row>
    <row r="3" spans="2:18" ht="15" customHeight="1" x14ac:dyDescent="0.25">
      <c r="B3" t="s">
        <v>191</v>
      </c>
      <c r="C3" s="168">
        <v>13</v>
      </c>
      <c r="D3" t="s">
        <v>187</v>
      </c>
      <c r="F3" s="58" t="s">
        <v>151</v>
      </c>
      <c r="G3" s="59">
        <v>9</v>
      </c>
      <c r="H3" s="59">
        <v>67</v>
      </c>
      <c r="I3" s="59"/>
      <c r="J3" s="61">
        <v>147400</v>
      </c>
      <c r="K3" s="61">
        <f t="shared" ref="K3:K10" si="0">SUM(J3*G3)</f>
        <v>1326600</v>
      </c>
      <c r="L3" s="67">
        <f>SUM(K3*0.5)</f>
        <v>663300</v>
      </c>
      <c r="M3" s="61"/>
      <c r="N3" s="252">
        <f t="shared" ref="N3:N15" si="1">SUM(G3*H3)</f>
        <v>603</v>
      </c>
      <c r="O3" s="7"/>
      <c r="P3" s="7"/>
    </row>
    <row r="4" spans="2:18" ht="15" customHeight="1" x14ac:dyDescent="0.25">
      <c r="B4" t="s">
        <v>314</v>
      </c>
      <c r="F4" s="58" t="s">
        <v>152</v>
      </c>
      <c r="G4" s="59">
        <v>4</v>
      </c>
      <c r="H4" s="59">
        <v>78</v>
      </c>
      <c r="I4" s="59"/>
      <c r="J4" s="61">
        <v>171600</v>
      </c>
      <c r="K4" s="61">
        <f t="shared" si="0"/>
        <v>686400</v>
      </c>
      <c r="L4" s="67">
        <f>SUM(K4*0.5)</f>
        <v>343200</v>
      </c>
      <c r="M4" s="61"/>
      <c r="N4" s="252">
        <f t="shared" si="1"/>
        <v>312</v>
      </c>
      <c r="O4" s="7"/>
      <c r="P4" s="7"/>
      <c r="R4" s="36"/>
    </row>
    <row r="5" spans="2:18" ht="15" customHeight="1" x14ac:dyDescent="0.25">
      <c r="F5" s="58" t="s">
        <v>154</v>
      </c>
      <c r="G5" s="59">
        <v>2</v>
      </c>
      <c r="H5" s="59">
        <v>58</v>
      </c>
      <c r="I5" s="59" t="s">
        <v>157</v>
      </c>
      <c r="J5" s="61">
        <v>157700</v>
      </c>
      <c r="K5" s="61">
        <f t="shared" si="0"/>
        <v>315400</v>
      </c>
      <c r="L5" s="61"/>
      <c r="M5" s="67">
        <f t="shared" ref="M5:M10" si="2">SUM(K5*0.37)</f>
        <v>116698</v>
      </c>
      <c r="N5" s="252">
        <f t="shared" si="1"/>
        <v>116</v>
      </c>
      <c r="O5" s="7"/>
      <c r="P5" s="56"/>
      <c r="R5" s="36"/>
    </row>
    <row r="6" spans="2:18" ht="15" customHeight="1" x14ac:dyDescent="0.25">
      <c r="B6" t="s">
        <v>315</v>
      </c>
      <c r="D6" s="37">
        <f>SUM(220/5.62)</f>
        <v>39.145907473309606</v>
      </c>
      <c r="F6" s="58" t="s">
        <v>144</v>
      </c>
      <c r="G6" s="59">
        <v>19</v>
      </c>
      <c r="H6" s="59">
        <v>46</v>
      </c>
      <c r="I6" s="59" t="s">
        <v>145</v>
      </c>
      <c r="J6" s="61">
        <v>101900</v>
      </c>
      <c r="K6" s="61">
        <f t="shared" si="0"/>
        <v>1936100</v>
      </c>
      <c r="L6" s="61"/>
      <c r="M6" s="67">
        <f t="shared" si="2"/>
        <v>716357</v>
      </c>
      <c r="N6" s="252">
        <f t="shared" si="1"/>
        <v>874</v>
      </c>
      <c r="O6" s="7"/>
      <c r="P6" s="7"/>
      <c r="R6" s="30"/>
    </row>
    <row r="7" spans="2:18" ht="15.75" customHeight="1" x14ac:dyDescent="0.25">
      <c r="F7" s="58" t="s">
        <v>149</v>
      </c>
      <c r="G7" s="59">
        <v>9</v>
      </c>
      <c r="H7" s="59">
        <v>59</v>
      </c>
      <c r="I7" s="59" t="s">
        <v>156</v>
      </c>
      <c r="J7" s="61">
        <v>126600</v>
      </c>
      <c r="K7" s="61">
        <f t="shared" si="0"/>
        <v>1139400</v>
      </c>
      <c r="L7" s="61"/>
      <c r="M7" s="67">
        <f t="shared" si="2"/>
        <v>421578</v>
      </c>
      <c r="N7" s="252">
        <f t="shared" si="1"/>
        <v>531</v>
      </c>
      <c r="O7" s="7"/>
      <c r="P7" s="7"/>
    </row>
    <row r="8" spans="2:18" ht="15.75" customHeight="1" x14ac:dyDescent="0.25">
      <c r="F8" s="58" t="s">
        <v>143</v>
      </c>
      <c r="G8" s="59">
        <v>11</v>
      </c>
      <c r="H8" s="59">
        <v>83</v>
      </c>
      <c r="I8" s="59" t="s">
        <v>140</v>
      </c>
      <c r="J8" s="61">
        <v>161600</v>
      </c>
      <c r="K8" s="61">
        <f t="shared" si="0"/>
        <v>1777600</v>
      </c>
      <c r="L8" s="61"/>
      <c r="M8" s="67">
        <f t="shared" si="2"/>
        <v>657712</v>
      </c>
      <c r="N8" s="252">
        <f t="shared" si="1"/>
        <v>913</v>
      </c>
      <c r="O8" s="7"/>
      <c r="P8" s="7"/>
    </row>
    <row r="9" spans="2:18" ht="15.75" customHeight="1" x14ac:dyDescent="0.25">
      <c r="F9" s="117" t="s">
        <v>147</v>
      </c>
      <c r="G9" s="118">
        <v>6</v>
      </c>
      <c r="H9" s="118">
        <v>88</v>
      </c>
      <c r="I9" s="118" t="s">
        <v>228</v>
      </c>
      <c r="J9" s="119">
        <v>168000</v>
      </c>
      <c r="K9" s="119">
        <f t="shared" si="0"/>
        <v>1008000</v>
      </c>
      <c r="L9" s="119"/>
      <c r="M9" s="120">
        <f t="shared" si="2"/>
        <v>372960</v>
      </c>
      <c r="N9" s="253">
        <f t="shared" si="1"/>
        <v>528</v>
      </c>
      <c r="O9" s="7"/>
      <c r="P9" s="7"/>
    </row>
    <row r="10" spans="2:18" ht="15.75" customHeight="1" x14ac:dyDescent="0.25">
      <c r="F10" s="58" t="s">
        <v>155</v>
      </c>
      <c r="G10" s="59">
        <v>6</v>
      </c>
      <c r="H10" s="59">
        <v>110</v>
      </c>
      <c r="I10" s="59" t="s">
        <v>142</v>
      </c>
      <c r="J10" s="61">
        <v>209000</v>
      </c>
      <c r="K10" s="61">
        <f t="shared" si="0"/>
        <v>1254000</v>
      </c>
      <c r="L10" s="61"/>
      <c r="M10" s="67">
        <f t="shared" si="2"/>
        <v>463980</v>
      </c>
      <c r="N10" s="252">
        <f t="shared" si="1"/>
        <v>660</v>
      </c>
      <c r="O10" s="7"/>
      <c r="P10" s="125">
        <f>SUM(N3:N10)</f>
        <v>4537</v>
      </c>
    </row>
    <row r="11" spans="2:18" ht="15.75" customHeight="1" x14ac:dyDescent="0.25">
      <c r="F11" s="89" t="s">
        <v>30</v>
      </c>
      <c r="G11" s="251">
        <v>40</v>
      </c>
      <c r="H11" s="89">
        <v>82</v>
      </c>
      <c r="I11" s="64"/>
      <c r="J11" s="144">
        <f>SUM(H11*2300)</f>
        <v>188600</v>
      </c>
      <c r="K11" s="63"/>
      <c r="L11" s="63"/>
      <c r="M11" s="63"/>
      <c r="N11" s="14">
        <f t="shared" si="1"/>
        <v>3280</v>
      </c>
      <c r="O11" s="7"/>
      <c r="P11" s="7"/>
    </row>
    <row r="12" spans="2:18" ht="15.75" customHeight="1" x14ac:dyDescent="0.25">
      <c r="F12" s="13" t="s">
        <v>31</v>
      </c>
      <c r="G12" s="230">
        <v>22</v>
      </c>
      <c r="H12" s="13">
        <v>110</v>
      </c>
      <c r="I12" s="3"/>
      <c r="J12" s="144">
        <f t="shared" ref="J12:J15" si="3">SUM(H12*2300)</f>
        <v>253000</v>
      </c>
      <c r="K12" s="4"/>
      <c r="L12" s="4"/>
      <c r="M12" s="4"/>
      <c r="N12" s="14">
        <f t="shared" si="1"/>
        <v>2420</v>
      </c>
      <c r="O12" s="7"/>
      <c r="P12" s="7"/>
    </row>
    <row r="13" spans="2:18" ht="15.75" customHeight="1" x14ac:dyDescent="0.25">
      <c r="F13" s="13" t="s">
        <v>26</v>
      </c>
      <c r="G13" s="230">
        <v>48</v>
      </c>
      <c r="H13" s="13">
        <v>94</v>
      </c>
      <c r="I13" s="3"/>
      <c r="J13" s="144">
        <f t="shared" si="3"/>
        <v>216200</v>
      </c>
      <c r="K13" s="4"/>
      <c r="L13" s="4"/>
      <c r="M13" s="4"/>
      <c r="N13" s="14">
        <f t="shared" si="1"/>
        <v>4512</v>
      </c>
      <c r="O13" s="7"/>
      <c r="P13" s="7"/>
    </row>
    <row r="14" spans="2:18" ht="15.75" customHeight="1" x14ac:dyDescent="0.25">
      <c r="F14" s="13" t="s">
        <v>27</v>
      </c>
      <c r="G14" s="230">
        <v>33</v>
      </c>
      <c r="H14" s="13">
        <v>120</v>
      </c>
      <c r="I14" s="3"/>
      <c r="J14" s="144">
        <f t="shared" si="3"/>
        <v>276000</v>
      </c>
      <c r="K14" s="4"/>
      <c r="L14" s="4"/>
      <c r="M14" s="4"/>
      <c r="N14" s="14">
        <f t="shared" si="1"/>
        <v>3960</v>
      </c>
      <c r="O14" s="7"/>
      <c r="P14" s="7"/>
    </row>
    <row r="15" spans="2:18" ht="15.75" customHeight="1" x14ac:dyDescent="0.25">
      <c r="F15" s="13" t="s">
        <v>28</v>
      </c>
      <c r="G15" s="230">
        <v>11</v>
      </c>
      <c r="H15" s="13">
        <v>135</v>
      </c>
      <c r="I15" s="3"/>
      <c r="J15" s="144">
        <f t="shared" si="3"/>
        <v>310500</v>
      </c>
      <c r="K15" s="4"/>
      <c r="L15" s="4"/>
      <c r="M15" s="4"/>
      <c r="N15" s="14">
        <f t="shared" si="1"/>
        <v>1485</v>
      </c>
      <c r="O15" s="7"/>
      <c r="P15" s="7"/>
    </row>
    <row r="16" spans="2:18" ht="15.75" customHeight="1" x14ac:dyDescent="0.25">
      <c r="F16" s="17" t="s">
        <v>3</v>
      </c>
      <c r="G16" s="17">
        <f>SUM(G3:G15)</f>
        <v>220</v>
      </c>
      <c r="H16" s="3"/>
      <c r="I16" s="13"/>
      <c r="J16" s="33"/>
      <c r="K16" s="33"/>
      <c r="L16" s="55">
        <f>SUM(L3:L4)</f>
        <v>1006500</v>
      </c>
      <c r="M16" s="55">
        <f>SUM(M5:M10)</f>
        <v>2749285</v>
      </c>
      <c r="N16" s="128">
        <f>SUM(N3:N15)</f>
        <v>20194</v>
      </c>
      <c r="O16" s="11">
        <f>SUM(N11:N15)</f>
        <v>15657</v>
      </c>
      <c r="P16" s="7"/>
    </row>
    <row r="17" spans="6:19" ht="15.75" customHeight="1" x14ac:dyDescent="0.25">
      <c r="F17" s="105" t="s">
        <v>194</v>
      </c>
      <c r="G17" s="106">
        <f>SUM(28*879)</f>
        <v>24612</v>
      </c>
      <c r="H17" s="56"/>
      <c r="I17" s="3"/>
      <c r="J17" s="33"/>
      <c r="K17" s="33"/>
      <c r="L17" s="65" t="s">
        <v>8</v>
      </c>
      <c r="M17" s="86">
        <f>SUM(L16:M16)</f>
        <v>3755785</v>
      </c>
      <c r="N17" s="13"/>
      <c r="O17" s="7"/>
      <c r="P17" s="7"/>
    </row>
    <row r="18" spans="6:19" ht="15.75" customHeight="1" x14ac:dyDescent="0.25">
      <c r="F18" s="105" t="s">
        <v>195</v>
      </c>
      <c r="G18" s="106">
        <f>SUM(192*3075)</f>
        <v>590400</v>
      </c>
      <c r="H18" s="99"/>
      <c r="J18" s="88"/>
      <c r="K18" s="88"/>
      <c r="L18" s="88"/>
      <c r="M18" s="88"/>
    </row>
    <row r="19" spans="6:19" ht="15.75" customHeight="1" x14ac:dyDescent="0.25">
      <c r="F19" s="107" t="s">
        <v>3</v>
      </c>
      <c r="G19" s="108">
        <f>SUM(G17:G18)</f>
        <v>615012</v>
      </c>
      <c r="H19" s="99" t="s">
        <v>180</v>
      </c>
    </row>
    <row r="20" spans="6:19" ht="15.75" customHeight="1" x14ac:dyDescent="0.25"/>
    <row r="21" spans="6:19" ht="15.75" customHeight="1" x14ac:dyDescent="0.25">
      <c r="F21" s="16" t="s">
        <v>56</v>
      </c>
      <c r="G21" s="21" t="s">
        <v>57</v>
      </c>
    </row>
    <row r="22" spans="6:19" ht="15.75" customHeight="1" x14ac:dyDescent="0.25">
      <c r="F22" s="35" t="s">
        <v>316</v>
      </c>
      <c r="G22" s="36">
        <f>SUM(28*879)</f>
        <v>24612</v>
      </c>
      <c r="I22" s="30">
        <f>SUM(G22:G23)</f>
        <v>615012</v>
      </c>
      <c r="J22" t="s">
        <v>138</v>
      </c>
    </row>
    <row r="23" spans="6:19" x14ac:dyDescent="0.25">
      <c r="F23" s="35" t="s">
        <v>195</v>
      </c>
      <c r="G23" s="36">
        <f>SUM(192*3075)</f>
        <v>590400</v>
      </c>
      <c r="I23" s="54"/>
    </row>
    <row r="24" spans="6:19" ht="7.5" customHeight="1" x14ac:dyDescent="0.25">
      <c r="F24" s="35"/>
      <c r="G24" s="36"/>
      <c r="I24" s="54"/>
    </row>
    <row r="25" spans="6:19" x14ac:dyDescent="0.25">
      <c r="F25" s="35" t="s">
        <v>75</v>
      </c>
      <c r="G25" s="36">
        <v>1621093</v>
      </c>
    </row>
    <row r="26" spans="6:19" x14ac:dyDescent="0.25">
      <c r="F26" s="35" t="s">
        <v>348</v>
      </c>
      <c r="G26" s="36">
        <v>500000</v>
      </c>
    </row>
    <row r="27" spans="6:19" x14ac:dyDescent="0.25">
      <c r="F27" s="35" t="s">
        <v>76</v>
      </c>
      <c r="G27" s="36">
        <v>50000</v>
      </c>
    </row>
    <row r="28" spans="6:19" x14ac:dyDescent="0.25">
      <c r="F28" t="s">
        <v>77</v>
      </c>
      <c r="G28" s="20">
        <v>50000</v>
      </c>
    </row>
    <row r="29" spans="6:19" x14ac:dyDescent="0.25">
      <c r="F29" s="22" t="s">
        <v>3</v>
      </c>
      <c r="G29" s="30">
        <f>SUM(G25:G28)</f>
        <v>2221093</v>
      </c>
      <c r="I29" s="53"/>
      <c r="O29" s="21" t="s">
        <v>56</v>
      </c>
      <c r="P29" s="53">
        <f>SUM((G29-I22)/N16)</f>
        <v>79.532583935822515</v>
      </c>
      <c r="Q29" t="s">
        <v>134</v>
      </c>
    </row>
    <row r="30" spans="6:19" ht="15.75" customHeight="1" x14ac:dyDescent="0.25">
      <c r="O30" s="21" t="s">
        <v>56</v>
      </c>
      <c r="P30" s="54">
        <v>0</v>
      </c>
      <c r="Q30" t="s">
        <v>350</v>
      </c>
      <c r="S30" s="35"/>
    </row>
    <row r="31" spans="6:19" ht="17.25" x14ac:dyDescent="0.25">
      <c r="F31" s="41" t="s">
        <v>92</v>
      </c>
      <c r="G31" s="42" t="s">
        <v>57</v>
      </c>
      <c r="O31" s="49" t="s">
        <v>56</v>
      </c>
      <c r="P31" s="54">
        <v>0</v>
      </c>
      <c r="Q31" s="35" t="s">
        <v>349</v>
      </c>
      <c r="R31" s="35"/>
      <c r="S31" s="35"/>
    </row>
    <row r="32" spans="6:19" x14ac:dyDescent="0.25">
      <c r="F32" s="43" t="s">
        <v>347</v>
      </c>
      <c r="G32" s="31" t="s">
        <v>91</v>
      </c>
      <c r="P32" s="54"/>
    </row>
    <row r="33" spans="6:16" x14ac:dyDescent="0.25">
      <c r="F33" s="43" t="s">
        <v>93</v>
      </c>
      <c r="G33" s="31" t="s">
        <v>91</v>
      </c>
    </row>
    <row r="34" spans="6:16" x14ac:dyDescent="0.25">
      <c r="F34" s="43" t="s">
        <v>94</v>
      </c>
      <c r="G34" s="31" t="s">
        <v>91</v>
      </c>
      <c r="P34" s="53"/>
    </row>
    <row r="35" spans="6:16" s="35" customFormat="1" ht="14.25" customHeight="1" x14ac:dyDescent="0.25"/>
    <row r="36" spans="6:16" x14ac:dyDescent="0.25">
      <c r="F36" s="16" t="s">
        <v>72</v>
      </c>
      <c r="G36" s="21" t="s">
        <v>57</v>
      </c>
    </row>
    <row r="37" spans="6:16" x14ac:dyDescent="0.25">
      <c r="F37" t="s">
        <v>218</v>
      </c>
      <c r="G37" s="47">
        <f>220*224</f>
        <v>49280</v>
      </c>
      <c r="I37" s="47">
        <f>SUM(G37:G39)</f>
        <v>410960</v>
      </c>
      <c r="J37" t="s">
        <v>126</v>
      </c>
    </row>
    <row r="38" spans="6:16" x14ac:dyDescent="0.25">
      <c r="F38" t="s">
        <v>216</v>
      </c>
      <c r="G38" s="47">
        <f>220*508</f>
        <v>111760</v>
      </c>
    </row>
    <row r="39" spans="6:16" x14ac:dyDescent="0.25">
      <c r="F39" t="s">
        <v>217</v>
      </c>
      <c r="G39" s="47">
        <f>220*1136</f>
        <v>249920</v>
      </c>
    </row>
    <row r="40" spans="6:16" x14ac:dyDescent="0.25">
      <c r="F40" t="s">
        <v>317</v>
      </c>
      <c r="G40" s="20">
        <f>SUM((220*0.29)*9300)</f>
        <v>593340</v>
      </c>
    </row>
    <row r="41" spans="6:16" x14ac:dyDescent="0.25">
      <c r="F41" s="22" t="s">
        <v>3</v>
      </c>
      <c r="G41" s="30">
        <f>SUM(G37:G40)</f>
        <v>1004300</v>
      </c>
      <c r="I41" s="249">
        <f>SUM(G41/G16)</f>
        <v>4565</v>
      </c>
      <c r="J41" t="s">
        <v>136</v>
      </c>
    </row>
    <row r="43" spans="6:16" x14ac:dyDescent="0.25">
      <c r="F43" s="16"/>
      <c r="G43" s="21"/>
    </row>
    <row r="44" spans="6:16" x14ac:dyDescent="0.25">
      <c r="G44" s="20"/>
      <c r="I44" s="54"/>
    </row>
    <row r="45" spans="6:16" x14ac:dyDescent="0.25">
      <c r="G45" s="20"/>
    </row>
    <row r="46" spans="6:16" x14ac:dyDescent="0.25">
      <c r="G46" s="20"/>
    </row>
    <row r="47" spans="6:16" x14ac:dyDescent="0.25">
      <c r="G47" s="20"/>
    </row>
    <row r="48" spans="6:16" x14ac:dyDescent="0.25">
      <c r="F48" s="22"/>
      <c r="G48" s="3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tabSelected="1" zoomScaleNormal="100" workbookViewId="0">
      <selection activeCell="K47" sqref="K47"/>
    </sheetView>
  </sheetViews>
  <sheetFormatPr defaultRowHeight="15" x14ac:dyDescent="0.25"/>
  <cols>
    <col min="1" max="1" width="4.7109375" customWidth="1"/>
    <col min="2" max="2" width="26.28515625" bestFit="1" customWidth="1"/>
    <col min="3" max="3" width="4" customWidth="1"/>
    <col min="4" max="4" width="9.7109375" bestFit="1" customWidth="1"/>
    <col min="5" max="5" width="5" customWidth="1"/>
    <col min="6" max="6" width="30.42578125" customWidth="1"/>
    <col min="7" max="7" width="10.140625" style="29" bestFit="1" customWidth="1"/>
    <col min="8" max="8" width="9.140625" bestFit="1" customWidth="1"/>
    <col min="9" max="9" width="14.85546875" bestFit="1" customWidth="1"/>
    <col min="10" max="10" width="11.28515625" style="38" customWidth="1"/>
    <col min="11" max="11" width="18.28515625" bestFit="1" customWidth="1"/>
    <col min="12" max="12" width="10.42578125" bestFit="1" customWidth="1"/>
    <col min="13" max="13" width="11.140625" bestFit="1" customWidth="1"/>
    <col min="14" max="14" width="8.5703125" style="39" bestFit="1" customWidth="1"/>
    <col min="15" max="15" width="12.7109375" customWidth="1"/>
    <col min="16" max="16" width="9.140625" bestFit="1" customWidth="1"/>
    <col min="17" max="17" width="4.85546875" customWidth="1"/>
  </cols>
  <sheetData>
    <row r="1" spans="2:16" x14ac:dyDescent="0.25">
      <c r="B1" t="s">
        <v>196</v>
      </c>
      <c r="C1" s="29">
        <f>200*0.1</f>
        <v>20</v>
      </c>
      <c r="D1" t="s">
        <v>187</v>
      </c>
      <c r="F1" s="16" t="s">
        <v>318</v>
      </c>
      <c r="G1"/>
      <c r="J1"/>
      <c r="N1"/>
    </row>
    <row r="2" spans="2:16" ht="30" x14ac:dyDescent="0.25">
      <c r="B2" t="s">
        <v>197</v>
      </c>
      <c r="C2" s="168">
        <f>C1*0.8</f>
        <v>16</v>
      </c>
      <c r="D2" t="s">
        <v>187</v>
      </c>
      <c r="F2" s="2" t="s">
        <v>0</v>
      </c>
      <c r="G2" s="2" t="s">
        <v>53</v>
      </c>
      <c r="H2" s="2" t="s">
        <v>161</v>
      </c>
      <c r="I2" s="2" t="s">
        <v>174</v>
      </c>
      <c r="J2" s="2" t="s">
        <v>175</v>
      </c>
      <c r="K2" s="69" t="s">
        <v>159</v>
      </c>
      <c r="L2" s="2" t="s">
        <v>146</v>
      </c>
      <c r="M2" s="2" t="s">
        <v>172</v>
      </c>
      <c r="N2" s="9" t="s">
        <v>32</v>
      </c>
      <c r="O2" s="9" t="s">
        <v>160</v>
      </c>
      <c r="P2" s="9" t="s">
        <v>192</v>
      </c>
    </row>
    <row r="3" spans="2:16" x14ac:dyDescent="0.25">
      <c r="B3" t="s">
        <v>198</v>
      </c>
      <c r="C3" s="168">
        <f>20*0.2</f>
        <v>4</v>
      </c>
      <c r="D3" t="s">
        <v>187</v>
      </c>
      <c r="F3" s="80" t="s">
        <v>162</v>
      </c>
      <c r="G3" s="59">
        <v>3</v>
      </c>
      <c r="H3" s="81">
        <v>79</v>
      </c>
      <c r="I3" s="83"/>
      <c r="J3" s="61">
        <f>SUM(H3*2100)</f>
        <v>165900</v>
      </c>
      <c r="K3" s="61">
        <f>SUM(J3*G3)</f>
        <v>497700</v>
      </c>
      <c r="L3" s="67">
        <f>SUM(K3*0.5)</f>
        <v>248850</v>
      </c>
      <c r="M3" s="61"/>
      <c r="N3" s="146">
        <f t="shared" ref="N3:N8" si="0">SUM(G3*H3)</f>
        <v>237</v>
      </c>
      <c r="O3" s="7"/>
      <c r="P3" s="7"/>
    </row>
    <row r="4" spans="2:16" x14ac:dyDescent="0.25">
      <c r="B4" t="s">
        <v>319</v>
      </c>
      <c r="F4" s="80" t="s">
        <v>163</v>
      </c>
      <c r="G4" s="59">
        <v>1</v>
      </c>
      <c r="H4" s="81">
        <v>91</v>
      </c>
      <c r="I4" s="83"/>
      <c r="J4" s="61">
        <f>SUM(H4*2100)</f>
        <v>191100</v>
      </c>
      <c r="K4" s="61">
        <f t="shared" ref="K4:K8" si="1">SUM(J4*G4)</f>
        <v>191100</v>
      </c>
      <c r="L4" s="67">
        <f>SUM(K4*0.5)</f>
        <v>95550</v>
      </c>
      <c r="M4" s="61"/>
      <c r="N4" s="146">
        <f t="shared" si="0"/>
        <v>91</v>
      </c>
      <c r="O4" s="7"/>
      <c r="P4" s="7"/>
    </row>
    <row r="5" spans="2:16" ht="15" customHeight="1" x14ac:dyDescent="0.25">
      <c r="F5" s="58" t="s">
        <v>164</v>
      </c>
      <c r="G5" s="59">
        <v>2</v>
      </c>
      <c r="H5" s="59">
        <v>46</v>
      </c>
      <c r="I5" s="59" t="s">
        <v>145</v>
      </c>
      <c r="J5" s="61">
        <v>95800</v>
      </c>
      <c r="K5" s="61">
        <f t="shared" si="1"/>
        <v>191600</v>
      </c>
      <c r="L5" s="61"/>
      <c r="M5" s="67">
        <f>SUM(K5*0.37)</f>
        <v>70892</v>
      </c>
      <c r="N5" s="146">
        <f t="shared" si="0"/>
        <v>92</v>
      </c>
      <c r="O5" s="7"/>
      <c r="P5" s="7"/>
    </row>
    <row r="6" spans="2:16" ht="15" customHeight="1" x14ac:dyDescent="0.25">
      <c r="B6" t="s">
        <v>320</v>
      </c>
      <c r="D6" s="37">
        <f>SUM(200/5.52)</f>
        <v>36.231884057971016</v>
      </c>
      <c r="F6" s="58" t="s">
        <v>165</v>
      </c>
      <c r="G6" s="59">
        <v>4</v>
      </c>
      <c r="H6" s="59">
        <v>59</v>
      </c>
      <c r="I6" s="59" t="s">
        <v>156</v>
      </c>
      <c r="J6" s="61">
        <v>119700</v>
      </c>
      <c r="K6" s="61">
        <f t="shared" si="1"/>
        <v>478800</v>
      </c>
      <c r="L6" s="61"/>
      <c r="M6" s="67">
        <f t="shared" ref="M6:M8" si="2">SUM(K6*0.37)</f>
        <v>177156</v>
      </c>
      <c r="N6" s="146">
        <f t="shared" si="0"/>
        <v>236</v>
      </c>
      <c r="O6" s="7"/>
      <c r="P6" s="7"/>
    </row>
    <row r="7" spans="2:16" x14ac:dyDescent="0.25">
      <c r="F7" s="80" t="s">
        <v>168</v>
      </c>
      <c r="G7" s="59">
        <v>7</v>
      </c>
      <c r="H7" s="59">
        <v>83</v>
      </c>
      <c r="I7" s="59" t="s">
        <v>140</v>
      </c>
      <c r="J7" s="61">
        <v>147800</v>
      </c>
      <c r="K7" s="61">
        <f t="shared" si="1"/>
        <v>1034600</v>
      </c>
      <c r="L7" s="61"/>
      <c r="M7" s="67">
        <f t="shared" si="2"/>
        <v>382802</v>
      </c>
      <c r="N7" s="146">
        <f t="shared" si="0"/>
        <v>581</v>
      </c>
      <c r="O7" s="7"/>
      <c r="P7" s="7"/>
    </row>
    <row r="8" spans="2:16" x14ac:dyDescent="0.25">
      <c r="F8" s="80" t="s">
        <v>167</v>
      </c>
      <c r="G8" s="59">
        <v>3</v>
      </c>
      <c r="H8" s="59">
        <v>94</v>
      </c>
      <c r="I8" s="59" t="s">
        <v>141</v>
      </c>
      <c r="J8" s="61">
        <v>164700</v>
      </c>
      <c r="K8" s="61">
        <f t="shared" si="1"/>
        <v>494100</v>
      </c>
      <c r="L8" s="61"/>
      <c r="M8" s="67">
        <f t="shared" si="2"/>
        <v>182817</v>
      </c>
      <c r="N8" s="146">
        <f t="shared" si="0"/>
        <v>282</v>
      </c>
      <c r="O8" s="7"/>
      <c r="P8" s="125">
        <f>SUM(N3:N8)</f>
        <v>1519</v>
      </c>
    </row>
    <row r="9" spans="2:16" x14ac:dyDescent="0.25">
      <c r="F9" s="7" t="s">
        <v>78</v>
      </c>
      <c r="G9" s="13">
        <v>14</v>
      </c>
      <c r="H9" s="87">
        <v>91</v>
      </c>
      <c r="I9" s="3"/>
      <c r="J9" s="254">
        <f>SUM(H9*2100)</f>
        <v>191100</v>
      </c>
      <c r="K9" s="45"/>
      <c r="L9" s="4"/>
      <c r="M9" s="4"/>
      <c r="N9" s="10">
        <f t="shared" ref="N9:N19" si="3">SUM(G9*H9)</f>
        <v>1274</v>
      </c>
      <c r="O9" s="7"/>
      <c r="P9" s="7"/>
    </row>
    <row r="10" spans="2:16" x14ac:dyDescent="0.25">
      <c r="F10" s="7" t="s">
        <v>79</v>
      </c>
      <c r="G10" s="13">
        <v>16</v>
      </c>
      <c r="H10" s="87">
        <v>119.23</v>
      </c>
      <c r="I10" s="3"/>
      <c r="J10" s="254">
        <f t="shared" ref="J10:J19" si="4">SUM(H10*2100)</f>
        <v>250383</v>
      </c>
      <c r="K10" s="45"/>
      <c r="L10" s="4"/>
      <c r="M10" s="4"/>
      <c r="N10" s="10">
        <f t="shared" si="3"/>
        <v>1907.68</v>
      </c>
      <c r="O10" s="7"/>
      <c r="P10" s="7"/>
    </row>
    <row r="11" spans="2:16" x14ac:dyDescent="0.25">
      <c r="F11" s="7" t="s">
        <v>80</v>
      </c>
      <c r="G11" s="13">
        <v>11</v>
      </c>
      <c r="H11" s="87">
        <v>91.43</v>
      </c>
      <c r="I11" s="3"/>
      <c r="J11" s="254">
        <f t="shared" si="4"/>
        <v>192003</v>
      </c>
      <c r="K11" s="45"/>
      <c r="L11" s="4"/>
      <c r="M11" s="4"/>
      <c r="N11" s="10">
        <f t="shared" si="3"/>
        <v>1005.73</v>
      </c>
      <c r="O11" s="7"/>
      <c r="P11" s="7"/>
    </row>
    <row r="12" spans="2:16" x14ac:dyDescent="0.25">
      <c r="F12" s="7" t="s">
        <v>81</v>
      </c>
      <c r="G12" s="13">
        <v>11</v>
      </c>
      <c r="H12" s="87">
        <v>118.91</v>
      </c>
      <c r="I12" s="3"/>
      <c r="J12" s="254">
        <f t="shared" si="4"/>
        <v>249711</v>
      </c>
      <c r="K12" s="45"/>
      <c r="L12" s="4"/>
      <c r="M12" s="4"/>
      <c r="N12" s="10">
        <f t="shared" si="3"/>
        <v>1308.01</v>
      </c>
      <c r="O12" s="7"/>
      <c r="P12" s="7"/>
    </row>
    <row r="13" spans="2:16" x14ac:dyDescent="0.25">
      <c r="F13" s="7" t="s">
        <v>30</v>
      </c>
      <c r="G13" s="13">
        <v>39</v>
      </c>
      <c r="H13" s="87">
        <v>95.69</v>
      </c>
      <c r="I13" s="3"/>
      <c r="J13" s="254">
        <f t="shared" si="4"/>
        <v>200949</v>
      </c>
      <c r="K13" s="45"/>
      <c r="L13" s="4"/>
      <c r="M13" s="4"/>
      <c r="N13" s="10">
        <f t="shared" si="3"/>
        <v>3731.91</v>
      </c>
      <c r="O13" s="7"/>
      <c r="P13" s="7"/>
    </row>
    <row r="14" spans="2:16" x14ac:dyDescent="0.25">
      <c r="F14" s="7" t="s">
        <v>31</v>
      </c>
      <c r="G14" s="13">
        <v>14</v>
      </c>
      <c r="H14" s="87">
        <v>119.43</v>
      </c>
      <c r="I14" s="3"/>
      <c r="J14" s="254">
        <f t="shared" si="4"/>
        <v>250803</v>
      </c>
      <c r="K14" s="45"/>
      <c r="L14" s="4"/>
      <c r="M14" s="4"/>
      <c r="N14" s="10">
        <f t="shared" si="3"/>
        <v>1672.02</v>
      </c>
      <c r="O14" s="7"/>
      <c r="P14" s="7"/>
    </row>
    <row r="15" spans="2:16" x14ac:dyDescent="0.25">
      <c r="F15" s="7" t="s">
        <v>26</v>
      </c>
      <c r="G15" s="13">
        <v>43</v>
      </c>
      <c r="H15" s="87">
        <v>100.33</v>
      </c>
      <c r="I15" s="3"/>
      <c r="J15" s="254">
        <f t="shared" si="4"/>
        <v>210693</v>
      </c>
      <c r="K15" s="45"/>
      <c r="L15" s="4"/>
      <c r="M15" s="4"/>
      <c r="N15" s="10">
        <f t="shared" si="3"/>
        <v>4314.1899999999996</v>
      </c>
      <c r="O15" s="7"/>
      <c r="P15" s="7"/>
    </row>
    <row r="16" spans="2:16" x14ac:dyDescent="0.25">
      <c r="F16" s="7" t="s">
        <v>27</v>
      </c>
      <c r="G16" s="13">
        <v>19</v>
      </c>
      <c r="H16" s="87">
        <v>131.56</v>
      </c>
      <c r="I16" s="3"/>
      <c r="J16" s="254">
        <f t="shared" si="4"/>
        <v>276276</v>
      </c>
      <c r="K16" s="45"/>
      <c r="L16" s="4"/>
      <c r="M16" s="4"/>
      <c r="N16" s="10">
        <f t="shared" si="3"/>
        <v>2499.64</v>
      </c>
      <c r="O16" s="7"/>
      <c r="P16" s="7"/>
    </row>
    <row r="17" spans="6:16" x14ac:dyDescent="0.25">
      <c r="F17" s="7" t="s">
        <v>28</v>
      </c>
      <c r="G17" s="13">
        <v>5</v>
      </c>
      <c r="H17" s="87">
        <v>153</v>
      </c>
      <c r="I17" s="3"/>
      <c r="J17" s="254">
        <f t="shared" si="4"/>
        <v>321300</v>
      </c>
      <c r="K17" s="45"/>
      <c r="L17" s="4"/>
      <c r="M17" s="4"/>
      <c r="N17" s="10">
        <f t="shared" si="3"/>
        <v>765</v>
      </c>
      <c r="O17" s="7"/>
      <c r="P17" s="7"/>
    </row>
    <row r="18" spans="6:16" x14ac:dyDescent="0.25">
      <c r="F18" s="7" t="s">
        <v>82</v>
      </c>
      <c r="G18" s="13">
        <v>6</v>
      </c>
      <c r="H18" s="87">
        <v>266</v>
      </c>
      <c r="I18" s="3"/>
      <c r="J18" s="254">
        <f t="shared" si="4"/>
        <v>558600</v>
      </c>
      <c r="K18" s="45"/>
      <c r="L18" s="4"/>
      <c r="M18" s="4"/>
      <c r="N18" s="10">
        <f t="shared" si="3"/>
        <v>1596</v>
      </c>
      <c r="O18" s="7"/>
      <c r="P18" s="7"/>
    </row>
    <row r="19" spans="6:16" x14ac:dyDescent="0.25">
      <c r="F19" s="7" t="s">
        <v>83</v>
      </c>
      <c r="G19" s="13">
        <v>2</v>
      </c>
      <c r="H19" s="87">
        <v>273</v>
      </c>
      <c r="I19" s="3"/>
      <c r="J19" s="254">
        <f t="shared" si="4"/>
        <v>573300</v>
      </c>
      <c r="K19" s="45"/>
      <c r="L19" s="4"/>
      <c r="M19" s="4"/>
      <c r="N19" s="10">
        <f t="shared" si="3"/>
        <v>546</v>
      </c>
      <c r="O19" s="7"/>
      <c r="P19" s="7"/>
    </row>
    <row r="20" spans="6:16" x14ac:dyDescent="0.25">
      <c r="F20" s="17" t="s">
        <v>3</v>
      </c>
      <c r="G20" s="17">
        <f>SUM(G3:G19)</f>
        <v>200</v>
      </c>
      <c r="H20" s="13"/>
      <c r="I20" s="7"/>
      <c r="J20" s="46"/>
      <c r="K20" s="46"/>
      <c r="L20" s="55">
        <f>SUM(L3:L4)</f>
        <v>344400</v>
      </c>
      <c r="M20" s="98">
        <f>SUM(M5:M8)</f>
        <v>813667</v>
      </c>
      <c r="N20" s="129">
        <f>SUM(N3:N19)</f>
        <v>22139.18</v>
      </c>
      <c r="O20" s="11">
        <f>SUM(N9:N19)</f>
        <v>20620.18</v>
      </c>
      <c r="P20" s="7"/>
    </row>
    <row r="21" spans="6:16" ht="15.75" x14ac:dyDescent="0.25">
      <c r="F21" s="105" t="s">
        <v>182</v>
      </c>
      <c r="G21" s="106">
        <f>SUM(36*879)</f>
        <v>31644</v>
      </c>
      <c r="H21" s="56"/>
      <c r="I21" s="3"/>
      <c r="J21" s="33"/>
      <c r="K21" s="33"/>
      <c r="L21" s="65" t="s">
        <v>8</v>
      </c>
      <c r="M21" s="65">
        <f>SUM(L20:M20)</f>
        <v>1158067</v>
      </c>
      <c r="N21" s="7"/>
      <c r="O21" s="7"/>
      <c r="P21" s="7"/>
    </row>
    <row r="22" spans="6:16" x14ac:dyDescent="0.25">
      <c r="F22" s="105" t="s">
        <v>183</v>
      </c>
      <c r="G22" s="106">
        <f>SUM(164*3075)</f>
        <v>504300</v>
      </c>
      <c r="H22" s="99"/>
      <c r="I22" s="35"/>
      <c r="J22" s="35"/>
      <c r="K22" s="35"/>
      <c r="L22" s="35"/>
      <c r="M22" s="35"/>
      <c r="N22" s="35"/>
      <c r="O22" s="35"/>
    </row>
    <row r="23" spans="6:16" x14ac:dyDescent="0.25">
      <c r="F23" s="107" t="s">
        <v>3</v>
      </c>
      <c r="G23" s="108">
        <f>SUM(G21:G22)</f>
        <v>535944</v>
      </c>
      <c r="H23" s="99" t="s">
        <v>180</v>
      </c>
      <c r="J23"/>
      <c r="N23"/>
    </row>
    <row r="24" spans="6:16" x14ac:dyDescent="0.25">
      <c r="F24" s="157"/>
      <c r="G24" s="157"/>
      <c r="H24" s="157"/>
      <c r="I24" s="157"/>
      <c r="J24" s="157"/>
      <c r="K24" s="157"/>
      <c r="L24" s="245"/>
      <c r="M24" s="246"/>
      <c r="N24" s="246"/>
      <c r="O24" s="247"/>
      <c r="P24" s="133"/>
    </row>
    <row r="25" spans="6:16" x14ac:dyDescent="0.25">
      <c r="F25" s="16" t="s">
        <v>56</v>
      </c>
      <c r="G25" s="21" t="s">
        <v>57</v>
      </c>
      <c r="J25" s="16"/>
      <c r="K25" s="16" t="s">
        <v>85</v>
      </c>
      <c r="L25" s="21" t="s">
        <v>57</v>
      </c>
      <c r="N25"/>
    </row>
    <row r="26" spans="6:16" x14ac:dyDescent="0.25">
      <c r="F26" s="257" t="s">
        <v>182</v>
      </c>
      <c r="G26" s="258">
        <f>SUM(36*879)</f>
        <v>31644</v>
      </c>
      <c r="I26" s="30"/>
      <c r="J26" s="16"/>
      <c r="K26" s="35" t="s">
        <v>86</v>
      </c>
      <c r="L26" s="297">
        <v>135350</v>
      </c>
      <c r="M26" s="240"/>
      <c r="N26"/>
    </row>
    <row r="27" spans="6:16" x14ac:dyDescent="0.25">
      <c r="F27" s="257" t="s">
        <v>183</v>
      </c>
      <c r="G27" s="258">
        <f>SUM(164*3075)</f>
        <v>504300</v>
      </c>
      <c r="J27" s="16"/>
      <c r="K27" t="s">
        <v>89</v>
      </c>
      <c r="L27" s="297">
        <v>900000</v>
      </c>
      <c r="M27" s="298">
        <f>SUM(L26:L28)</f>
        <v>2292725</v>
      </c>
      <c r="N27"/>
    </row>
    <row r="28" spans="6:16" s="35" customFormat="1" x14ac:dyDescent="0.25">
      <c r="F28" s="35" t="s">
        <v>84</v>
      </c>
      <c r="G28" s="36">
        <v>300000</v>
      </c>
      <c r="K28" t="s">
        <v>88</v>
      </c>
      <c r="L28" s="297">
        <v>1257375</v>
      </c>
      <c r="M28" s="240"/>
    </row>
    <row r="29" spans="6:16" x14ac:dyDescent="0.25">
      <c r="F29" s="35" t="s">
        <v>98</v>
      </c>
      <c r="G29" s="36">
        <v>880000</v>
      </c>
      <c r="H29" s="44"/>
      <c r="J29"/>
      <c r="K29" t="s">
        <v>87</v>
      </c>
      <c r="L29" s="20">
        <v>1755530</v>
      </c>
      <c r="N29"/>
      <c r="O29" s="20"/>
    </row>
    <row r="30" spans="6:16" x14ac:dyDescent="0.25">
      <c r="F30" s="35" t="s">
        <v>97</v>
      </c>
      <c r="G30" s="36">
        <v>500000</v>
      </c>
      <c r="J30"/>
      <c r="K30" s="22" t="s">
        <v>3</v>
      </c>
      <c r="L30" s="28">
        <f>SUM(L26:L29)</f>
        <v>4048255</v>
      </c>
      <c r="N30"/>
    </row>
    <row r="31" spans="6:16" x14ac:dyDescent="0.25">
      <c r="F31" s="43" t="s">
        <v>328</v>
      </c>
      <c r="G31" s="36">
        <v>200000</v>
      </c>
      <c r="J31"/>
      <c r="N31"/>
    </row>
    <row r="32" spans="6:16" x14ac:dyDescent="0.25">
      <c r="F32" s="43" t="s">
        <v>90</v>
      </c>
      <c r="G32" s="42">
        <v>730000</v>
      </c>
      <c r="I32" s="20"/>
      <c r="J32"/>
      <c r="L32" t="s">
        <v>56</v>
      </c>
      <c r="M32" s="54">
        <f>SUM((G33-G23)/N20)</f>
        <v>117.8905451782767</v>
      </c>
      <c r="N32" t="s">
        <v>134</v>
      </c>
    </row>
    <row r="33" spans="6:14" ht="17.25" x14ac:dyDescent="0.25">
      <c r="F33" s="22" t="s">
        <v>3</v>
      </c>
      <c r="G33" s="30">
        <f>SUM(G26:G32)</f>
        <v>3145944</v>
      </c>
      <c r="I33" s="54"/>
      <c r="J33"/>
      <c r="L33" t="s">
        <v>56</v>
      </c>
      <c r="M33" s="30">
        <f>SUM((M32-100)*N20)</f>
        <v>396081.99999999988</v>
      </c>
      <c r="N33" t="s">
        <v>350</v>
      </c>
    </row>
    <row r="34" spans="6:14" ht="15" customHeight="1" x14ac:dyDescent="0.25">
      <c r="F34" s="22"/>
      <c r="G34" s="30"/>
      <c r="J34"/>
      <c r="L34" t="s">
        <v>56</v>
      </c>
      <c r="M34" s="116">
        <f>SUM(M33/G20)</f>
        <v>1980.4099999999994</v>
      </c>
      <c r="N34" s="35" t="s">
        <v>349</v>
      </c>
    </row>
    <row r="35" spans="6:14" x14ac:dyDescent="0.25">
      <c r="F35" s="16" t="s">
        <v>72</v>
      </c>
      <c r="G35" s="21" t="s">
        <v>57</v>
      </c>
      <c r="J35"/>
      <c r="M35" s="116"/>
      <c r="N35" s="35"/>
    </row>
    <row r="36" spans="6:14" x14ac:dyDescent="0.25">
      <c r="F36" t="s">
        <v>216</v>
      </c>
      <c r="G36" s="47">
        <f>200*508</f>
        <v>101600</v>
      </c>
      <c r="I36" s="47">
        <f>SUM(G36:G37)</f>
        <v>328800</v>
      </c>
      <c r="J36" t="s">
        <v>139</v>
      </c>
      <c r="N36"/>
    </row>
    <row r="37" spans="6:14" ht="15" customHeight="1" x14ac:dyDescent="0.25">
      <c r="F37" t="s">
        <v>217</v>
      </c>
      <c r="G37" s="47">
        <f>200*1136</f>
        <v>227200</v>
      </c>
      <c r="J37"/>
      <c r="N37"/>
    </row>
    <row r="38" spans="6:14" x14ac:dyDescent="0.25">
      <c r="F38" t="s">
        <v>321</v>
      </c>
      <c r="G38" s="148">
        <f>SUM(28*9300)</f>
        <v>260400</v>
      </c>
      <c r="J38"/>
      <c r="N38"/>
    </row>
    <row r="39" spans="6:14" x14ac:dyDescent="0.25">
      <c r="F39" s="22" t="s">
        <v>3</v>
      </c>
      <c r="G39" s="30">
        <f>SUM(G36:G38)</f>
        <v>589200</v>
      </c>
      <c r="I39" s="30">
        <f>SUM(G39/G20)</f>
        <v>2946</v>
      </c>
      <c r="J39" s="140" t="s">
        <v>219</v>
      </c>
      <c r="N39"/>
    </row>
    <row r="41" spans="6:14" x14ac:dyDescent="0.25">
      <c r="F41" s="16"/>
      <c r="G41" s="21"/>
      <c r="J41"/>
    </row>
    <row r="42" spans="6:14" x14ac:dyDescent="0.25">
      <c r="G42" s="20"/>
      <c r="I42" s="54"/>
      <c r="J42"/>
    </row>
    <row r="43" spans="6:14" x14ac:dyDescent="0.25">
      <c r="G43" s="20"/>
      <c r="J43"/>
    </row>
    <row r="44" spans="6:14" x14ac:dyDescent="0.25">
      <c r="G44" s="54"/>
      <c r="J44"/>
    </row>
    <row r="45" spans="6:14" x14ac:dyDescent="0.25">
      <c r="F45" s="22"/>
      <c r="G45" s="30"/>
      <c r="J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zoomScaleNormal="100" workbookViewId="0">
      <selection activeCell="O33" sqref="O33"/>
    </sheetView>
  </sheetViews>
  <sheetFormatPr defaultRowHeight="15" x14ac:dyDescent="0.25"/>
  <cols>
    <col min="1" max="1" width="4.28515625" customWidth="1"/>
    <col min="2" max="2" width="26.85546875" bestFit="1" customWidth="1"/>
    <col min="3" max="3" width="6.5703125" bestFit="1" customWidth="1"/>
    <col min="4" max="4" width="7" bestFit="1" customWidth="1"/>
    <col min="5" max="5" width="4.85546875" customWidth="1"/>
    <col min="6" max="6" width="27" style="1" bestFit="1" customWidth="1"/>
    <col min="7" max="7" width="9.5703125" style="1" bestFit="1" customWidth="1"/>
    <col min="8" max="8" width="5.7109375" style="1" customWidth="1"/>
    <col min="9" max="9" width="13.85546875" style="1" customWidth="1"/>
    <col min="10" max="10" width="11.28515625" style="1" customWidth="1"/>
    <col min="11" max="11" width="11.5703125" style="1" customWidth="1"/>
    <col min="12" max="12" width="10.28515625" style="1" customWidth="1"/>
    <col min="13" max="13" width="8.5703125" style="1" bestFit="1" customWidth="1"/>
    <col min="14" max="14" width="6.5703125" style="1" customWidth="1"/>
    <col min="15" max="15" width="10.5703125" style="1" bestFit="1" customWidth="1"/>
    <col min="16" max="16" width="6.42578125" customWidth="1"/>
    <col min="17" max="17" width="5.85546875" customWidth="1"/>
    <col min="18" max="18" width="13.5703125" customWidth="1"/>
    <col min="19" max="19" width="5" bestFit="1" customWidth="1"/>
    <col min="20" max="20" width="4.5703125" bestFit="1" customWidth="1"/>
    <col min="21" max="21" width="10.42578125" bestFit="1" customWidth="1"/>
    <col min="22" max="22" width="6.140625" customWidth="1"/>
    <col min="23" max="23" width="8.5703125" bestFit="1" customWidth="1"/>
    <col min="24" max="24" width="9.85546875" customWidth="1"/>
    <col min="25" max="25" width="10.140625" bestFit="1" customWidth="1"/>
    <col min="26" max="26" width="9.42578125" customWidth="1"/>
    <col min="27" max="27" width="10.85546875" customWidth="1"/>
    <col min="29" max="29" width="15.7109375" bestFit="1" customWidth="1"/>
    <col min="30" max="30" width="10.85546875" customWidth="1"/>
  </cols>
  <sheetData>
    <row r="1" spans="2:33" x14ac:dyDescent="0.25">
      <c r="C1" s="135" t="s">
        <v>263</v>
      </c>
      <c r="D1" s="168" t="s">
        <v>264</v>
      </c>
      <c r="F1" s="16" t="s">
        <v>281</v>
      </c>
      <c r="G1"/>
      <c r="H1"/>
      <c r="I1"/>
      <c r="J1"/>
      <c r="K1"/>
      <c r="L1"/>
      <c r="M1"/>
      <c r="N1"/>
      <c r="O1"/>
      <c r="R1" s="16" t="s">
        <v>271</v>
      </c>
    </row>
    <row r="2" spans="2:33" ht="30" customHeight="1" x14ac:dyDescent="0.25">
      <c r="B2" t="s">
        <v>220</v>
      </c>
      <c r="C2" s="29">
        <f>54*0.05</f>
        <v>2.7</v>
      </c>
      <c r="D2" s="29"/>
      <c r="F2" s="2" t="s">
        <v>0</v>
      </c>
      <c r="G2" s="2" t="s">
        <v>53</v>
      </c>
      <c r="H2" s="2" t="s">
        <v>274</v>
      </c>
      <c r="I2" s="2" t="s">
        <v>2</v>
      </c>
      <c r="J2" s="2" t="s">
        <v>265</v>
      </c>
      <c r="K2" s="69" t="s">
        <v>159</v>
      </c>
      <c r="L2" s="2" t="s">
        <v>176</v>
      </c>
      <c r="M2" s="2" t="s">
        <v>169</v>
      </c>
      <c r="N2" s="9" t="s">
        <v>262</v>
      </c>
      <c r="O2" s="9" t="s">
        <v>275</v>
      </c>
      <c r="P2" s="9" t="s">
        <v>276</v>
      </c>
      <c r="R2" s="27" t="s">
        <v>0</v>
      </c>
      <c r="S2" s="27" t="s">
        <v>53</v>
      </c>
      <c r="T2" s="27" t="s">
        <v>266</v>
      </c>
      <c r="U2" s="27" t="s">
        <v>278</v>
      </c>
      <c r="V2" s="27" t="s">
        <v>266</v>
      </c>
      <c r="W2" s="27" t="s">
        <v>267</v>
      </c>
      <c r="X2" s="27" t="s">
        <v>268</v>
      </c>
      <c r="Y2" s="27" t="s">
        <v>269</v>
      </c>
      <c r="Z2" s="27" t="s">
        <v>279</v>
      </c>
      <c r="AA2" s="27" t="s">
        <v>270</v>
      </c>
    </row>
    <row r="3" spans="2:33" x14ac:dyDescent="0.25">
      <c r="B3" t="s">
        <v>221</v>
      </c>
      <c r="C3" s="29">
        <f>SUM(2.7*0.8)</f>
        <v>2.16</v>
      </c>
      <c r="D3" s="168">
        <v>2</v>
      </c>
      <c r="F3" s="93" t="s">
        <v>164</v>
      </c>
      <c r="G3" s="59">
        <v>2</v>
      </c>
      <c r="H3" s="59">
        <v>56</v>
      </c>
      <c r="I3" s="64" t="s">
        <v>145</v>
      </c>
      <c r="J3" s="61">
        <v>86600</v>
      </c>
      <c r="K3" s="61">
        <f>SUM(J3*G3)</f>
        <v>173200</v>
      </c>
      <c r="L3" s="61"/>
      <c r="M3" s="67">
        <f>SUM(K3*0.37)</f>
        <v>64084</v>
      </c>
      <c r="N3" s="10">
        <f>SUM(G3*H3)</f>
        <v>112</v>
      </c>
      <c r="O3" s="7"/>
      <c r="P3" s="125">
        <f>N3</f>
        <v>112</v>
      </c>
      <c r="R3" s="92" t="s">
        <v>11</v>
      </c>
      <c r="S3" s="3">
        <v>14</v>
      </c>
      <c r="T3" s="3">
        <v>56</v>
      </c>
      <c r="U3" s="169" t="s">
        <v>145</v>
      </c>
      <c r="V3" s="169">
        <v>46</v>
      </c>
      <c r="W3" s="189">
        <v>86600</v>
      </c>
      <c r="X3" s="191">
        <f>SUM(W3/V3)</f>
        <v>1882.608695652174</v>
      </c>
      <c r="Y3" s="142">
        <f>SUM(S3*T3*X3)</f>
        <v>1475965.2173913044</v>
      </c>
      <c r="Z3" s="7"/>
      <c r="AA3" s="7"/>
    </row>
    <row r="4" spans="2:33" x14ac:dyDescent="0.25">
      <c r="B4" t="s">
        <v>222</v>
      </c>
      <c r="C4" s="29">
        <f>SUM(2.7*0.2)</f>
        <v>0.54</v>
      </c>
      <c r="D4" s="168">
        <v>0</v>
      </c>
      <c r="F4" s="92" t="s">
        <v>11</v>
      </c>
      <c r="G4" s="3">
        <v>12</v>
      </c>
      <c r="H4" s="3">
        <v>56</v>
      </c>
      <c r="I4" s="3"/>
      <c r="J4" s="4"/>
      <c r="K4" s="4"/>
      <c r="L4" s="3"/>
      <c r="M4" s="3"/>
      <c r="N4" s="10">
        <f>SUM(G4*H4)</f>
        <v>672</v>
      </c>
      <c r="O4" s="7"/>
      <c r="P4" s="7"/>
      <c r="R4" s="92" t="s">
        <v>12</v>
      </c>
      <c r="S4" s="3">
        <v>2</v>
      </c>
      <c r="T4" s="3">
        <v>67</v>
      </c>
      <c r="U4" s="169" t="s">
        <v>282</v>
      </c>
      <c r="V4" s="169">
        <v>59</v>
      </c>
      <c r="W4" s="189">
        <v>109400</v>
      </c>
      <c r="X4" s="191">
        <f t="shared" ref="X4:X7" si="0">SUM(W4/V4)</f>
        <v>1854.2372881355932</v>
      </c>
      <c r="Y4" s="142">
        <f t="shared" ref="Y4:Y7" si="1">SUM(S4*T4*X4)</f>
        <v>248467.79661016949</v>
      </c>
      <c r="Z4" s="7"/>
      <c r="AA4" s="7"/>
    </row>
    <row r="5" spans="2:33" x14ac:dyDescent="0.25">
      <c r="B5" s="35" t="s">
        <v>210</v>
      </c>
      <c r="C5" s="135"/>
      <c r="D5" s="168">
        <v>0.7</v>
      </c>
      <c r="F5" s="92" t="s">
        <v>12</v>
      </c>
      <c r="G5" s="3">
        <v>2</v>
      </c>
      <c r="H5" s="3">
        <v>67</v>
      </c>
      <c r="I5" s="3"/>
      <c r="J5" s="4"/>
      <c r="K5" s="4"/>
      <c r="L5" s="3"/>
      <c r="M5" s="3"/>
      <c r="N5" s="10">
        <f t="shared" ref="N5:N8" si="2">SUM(G5*H5)</f>
        <v>134</v>
      </c>
      <c r="O5" s="7"/>
      <c r="P5" s="7"/>
      <c r="R5" s="92" t="s">
        <v>13</v>
      </c>
      <c r="S5" s="3">
        <v>24</v>
      </c>
      <c r="T5" s="3">
        <v>84</v>
      </c>
      <c r="U5" s="169" t="s">
        <v>140</v>
      </c>
      <c r="V5" s="169">
        <v>83</v>
      </c>
      <c r="W5" s="189">
        <v>127100</v>
      </c>
      <c r="X5" s="191">
        <f t="shared" si="0"/>
        <v>1531.3253012048192</v>
      </c>
      <c r="Y5" s="142">
        <f t="shared" si="1"/>
        <v>3087151.8072289154</v>
      </c>
      <c r="Z5" s="7"/>
      <c r="AA5" s="7"/>
    </row>
    <row r="6" spans="2:33" x14ac:dyDescent="0.25">
      <c r="F6" s="92" t="s">
        <v>13</v>
      </c>
      <c r="G6" s="3">
        <v>24</v>
      </c>
      <c r="H6" s="3">
        <v>84</v>
      </c>
      <c r="I6" s="3"/>
      <c r="J6" s="4"/>
      <c r="K6" s="4"/>
      <c r="L6" s="3"/>
      <c r="M6" s="3"/>
      <c r="N6" s="10">
        <f t="shared" si="2"/>
        <v>2016</v>
      </c>
      <c r="O6" s="7"/>
      <c r="P6" s="7"/>
      <c r="R6" s="92" t="s">
        <v>14</v>
      </c>
      <c r="S6" s="3">
        <v>12</v>
      </c>
      <c r="T6" s="3">
        <v>95</v>
      </c>
      <c r="U6" s="169" t="s">
        <v>141</v>
      </c>
      <c r="V6" s="169">
        <v>94</v>
      </c>
      <c r="W6" s="189">
        <v>142600</v>
      </c>
      <c r="X6" s="191">
        <f t="shared" si="0"/>
        <v>1517.0212765957447</v>
      </c>
      <c r="Y6" s="142">
        <f t="shared" si="1"/>
        <v>1729404.255319149</v>
      </c>
      <c r="Z6" s="7"/>
      <c r="AA6" s="7"/>
    </row>
    <row r="7" spans="2:33" x14ac:dyDescent="0.25">
      <c r="F7" s="92" t="s">
        <v>14</v>
      </c>
      <c r="G7" s="3">
        <v>12</v>
      </c>
      <c r="H7" s="3">
        <v>95</v>
      </c>
      <c r="I7" s="3"/>
      <c r="J7" s="4"/>
      <c r="K7" s="4"/>
      <c r="L7" s="3"/>
      <c r="M7" s="3"/>
      <c r="N7" s="10">
        <f t="shared" si="2"/>
        <v>1140</v>
      </c>
      <c r="O7" s="7"/>
      <c r="P7" s="7"/>
      <c r="R7" s="92" t="s">
        <v>15</v>
      </c>
      <c r="S7" s="3">
        <v>2</v>
      </c>
      <c r="T7" s="3">
        <v>114</v>
      </c>
      <c r="U7" s="169" t="s">
        <v>273</v>
      </c>
      <c r="V7" s="169">
        <v>114</v>
      </c>
      <c r="W7" s="189">
        <v>176300</v>
      </c>
      <c r="X7" s="191">
        <f t="shared" si="0"/>
        <v>1546.4912280701753</v>
      </c>
      <c r="Y7" s="142">
        <f t="shared" si="1"/>
        <v>352600</v>
      </c>
      <c r="Z7" s="7"/>
      <c r="AA7" s="7"/>
    </row>
    <row r="8" spans="2:33" x14ac:dyDescent="0.25">
      <c r="F8" s="92" t="s">
        <v>15</v>
      </c>
      <c r="G8" s="3">
        <v>2</v>
      </c>
      <c r="H8" s="3">
        <v>114</v>
      </c>
      <c r="I8" s="3"/>
      <c r="J8" s="4"/>
      <c r="K8" s="4"/>
      <c r="L8" s="3"/>
      <c r="M8" s="3"/>
      <c r="N8" s="10">
        <f t="shared" si="2"/>
        <v>228</v>
      </c>
      <c r="O8" s="7"/>
      <c r="P8" s="7"/>
      <c r="R8" s="188" t="s">
        <v>3</v>
      </c>
      <c r="S8" s="18">
        <f>SUM(S3:S7)</f>
        <v>54</v>
      </c>
      <c r="X8" s="21" t="s">
        <v>3</v>
      </c>
      <c r="Y8" s="170">
        <f>SUM(Y3:Y7)</f>
        <v>6893589.0765495384</v>
      </c>
      <c r="Z8" s="170">
        <f>SUM(Y8*0.05)</f>
        <v>344679.45382747694</v>
      </c>
      <c r="AA8" s="199">
        <f>SUM(Z8*0.604)</f>
        <v>208186.39011179606</v>
      </c>
    </row>
    <row r="9" spans="2:33" ht="15.75" x14ac:dyDescent="0.25">
      <c r="F9" s="6" t="s">
        <v>3</v>
      </c>
      <c r="G9" s="17">
        <f>SUM(G3:G8)</f>
        <v>54</v>
      </c>
      <c r="H9" s="3"/>
      <c r="I9" s="3"/>
      <c r="J9" s="3"/>
      <c r="K9" s="285" t="s">
        <v>177</v>
      </c>
      <c r="L9" s="286"/>
      <c r="M9" s="114">
        <f>M3</f>
        <v>64084</v>
      </c>
      <c r="N9" s="129">
        <f>SUM(N3:N8)</f>
        <v>4302</v>
      </c>
      <c r="O9" s="11">
        <f>SUM(N4:N8)</f>
        <v>4190</v>
      </c>
      <c r="P9" s="7"/>
      <c r="Y9" s="289" t="s">
        <v>280</v>
      </c>
      <c r="Z9" s="290"/>
      <c r="AA9" s="197">
        <f>SUM(AA8/(S8*0.05))</f>
        <v>77106.070411776309</v>
      </c>
    </row>
    <row r="10" spans="2:33" ht="15.75" x14ac:dyDescent="0.25">
      <c r="F10" s="105" t="s">
        <v>132</v>
      </c>
      <c r="G10" s="106">
        <f>SUM(16*879)</f>
        <v>14064</v>
      </c>
      <c r="H10" s="99"/>
      <c r="I10" s="3"/>
      <c r="J10" s="3"/>
      <c r="K10" s="287" t="s">
        <v>223</v>
      </c>
      <c r="L10" s="288"/>
      <c r="M10" s="65">
        <f>SUM(AA9*0.7)</f>
        <v>53974.249288243416</v>
      </c>
      <c r="N10" s="110" t="s">
        <v>179</v>
      </c>
      <c r="O10" s="35"/>
      <c r="P10" s="35"/>
      <c r="R10" s="99"/>
      <c r="S10" s="181"/>
      <c r="T10" s="190"/>
      <c r="U10" s="190"/>
      <c r="V10" s="190"/>
      <c r="W10" s="190"/>
    </row>
    <row r="11" spans="2:33" x14ac:dyDescent="0.25">
      <c r="F11" s="105" t="s">
        <v>181</v>
      </c>
      <c r="G11" s="106">
        <f>SUM(38*3075)</f>
        <v>116850</v>
      </c>
      <c r="H11" s="99"/>
      <c r="L11" s="35"/>
      <c r="M11" s="35"/>
      <c r="N11"/>
      <c r="O11" s="35"/>
      <c r="P11" s="35"/>
      <c r="R11" s="99"/>
      <c r="S11" s="181"/>
      <c r="T11" s="190"/>
      <c r="U11" s="190"/>
      <c r="V11" s="190"/>
      <c r="W11" s="190"/>
    </row>
    <row r="12" spans="2:33" ht="15.75" x14ac:dyDescent="0.25">
      <c r="F12" s="107" t="s">
        <v>3</v>
      </c>
      <c r="G12" s="172">
        <f>SUM(G10:G11)</f>
        <v>130914</v>
      </c>
      <c r="H12" s="99" t="s">
        <v>180</v>
      </c>
      <c r="I12"/>
      <c r="J12"/>
      <c r="K12"/>
      <c r="L12"/>
      <c r="M12"/>
      <c r="N12"/>
      <c r="O12"/>
      <c r="R12" s="99"/>
      <c r="S12" s="181"/>
      <c r="T12" s="190"/>
      <c r="U12" s="190"/>
      <c r="V12" s="190"/>
      <c r="W12" s="190"/>
    </row>
    <row r="13" spans="2:33" ht="15.75" customHeight="1" x14ac:dyDescent="0.25">
      <c r="R13" s="99"/>
      <c r="S13" s="181"/>
      <c r="T13" s="190"/>
      <c r="U13" s="190"/>
      <c r="V13" s="190"/>
      <c r="W13" s="190"/>
    </row>
    <row r="14" spans="2:33" x14ac:dyDescent="0.25">
      <c r="F14" s="16" t="s">
        <v>56</v>
      </c>
      <c r="G14" s="21" t="s">
        <v>57</v>
      </c>
      <c r="H14"/>
      <c r="I14"/>
      <c r="J14"/>
      <c r="K14"/>
      <c r="L14"/>
      <c r="M14" s="20"/>
      <c r="N14"/>
      <c r="O14"/>
      <c r="R14" s="99"/>
      <c r="S14" s="181"/>
      <c r="T14" s="190"/>
      <c r="U14" s="190"/>
      <c r="V14" s="190"/>
      <c r="W14" s="190"/>
    </row>
    <row r="15" spans="2:33" s="35" customFormat="1" x14ac:dyDescent="0.25">
      <c r="F15" s="52" t="s">
        <v>132</v>
      </c>
      <c r="G15" s="36">
        <f>SUM(16*879)</f>
        <v>14064</v>
      </c>
      <c r="I15" s="30">
        <f>SUM(G15:G16)</f>
        <v>130914</v>
      </c>
      <c r="J15" s="35" t="s">
        <v>135</v>
      </c>
      <c r="M15" s="40"/>
      <c r="R15" s="99"/>
      <c r="S15" s="181"/>
      <c r="T15" s="190"/>
      <c r="U15" s="190"/>
      <c r="V15" s="190"/>
      <c r="W15" s="190"/>
      <c r="X15" s="99"/>
      <c r="Y15" s="99"/>
      <c r="Z15" s="99"/>
      <c r="AA15" s="99"/>
      <c r="AB15" s="99"/>
      <c r="AC15" s="99"/>
      <c r="AD15" s="99"/>
      <c r="AE15" s="99"/>
      <c r="AF15" s="99"/>
      <c r="AG15" s="99"/>
    </row>
    <row r="16" spans="2:33" s="35" customFormat="1" x14ac:dyDescent="0.25">
      <c r="F16" s="51" t="s">
        <v>133</v>
      </c>
      <c r="G16" s="36">
        <f>SUM(38*3075)</f>
        <v>116850</v>
      </c>
      <c r="M16" s="40"/>
      <c r="R16" s="99"/>
      <c r="S16" s="181"/>
      <c r="T16" s="190"/>
      <c r="U16" s="190"/>
      <c r="V16" s="190"/>
      <c r="W16" s="190"/>
      <c r="X16" s="99"/>
      <c r="Y16" s="99"/>
      <c r="Z16" s="99"/>
      <c r="AA16" s="99"/>
      <c r="AB16" s="99"/>
      <c r="AC16" s="99"/>
      <c r="AD16" s="99"/>
      <c r="AE16" s="99"/>
      <c r="AF16" s="99"/>
      <c r="AG16" s="99"/>
    </row>
    <row r="17" spans="6:33" s="35" customFormat="1" ht="7.5" customHeight="1" x14ac:dyDescent="0.25">
      <c r="F17" s="51"/>
      <c r="G17" s="36"/>
      <c r="M17" s="40"/>
      <c r="R17" s="99"/>
      <c r="S17" s="181"/>
      <c r="T17" s="190"/>
      <c r="U17" s="190"/>
      <c r="V17" s="190"/>
      <c r="W17" s="190"/>
      <c r="X17" s="99"/>
      <c r="Y17" s="99"/>
      <c r="Z17" s="99"/>
      <c r="AA17" s="99"/>
      <c r="AB17" s="99"/>
      <c r="AC17" s="99"/>
      <c r="AD17" s="99"/>
      <c r="AE17" s="99"/>
      <c r="AF17" s="99"/>
      <c r="AG17" s="99"/>
    </row>
    <row r="18" spans="6:33" x14ac:dyDescent="0.25">
      <c r="F18" t="s">
        <v>71</v>
      </c>
      <c r="G18" s="34">
        <v>150000</v>
      </c>
      <c r="H18"/>
      <c r="I18"/>
      <c r="J18"/>
      <c r="K18"/>
      <c r="L18"/>
      <c r="M18"/>
      <c r="N18"/>
      <c r="O18"/>
      <c r="R18" s="99"/>
      <c r="S18" s="181"/>
      <c r="T18" s="190"/>
      <c r="U18" s="190"/>
      <c r="V18" s="190"/>
      <c r="W18" s="190"/>
      <c r="X18" s="174"/>
      <c r="Y18" s="174"/>
      <c r="Z18" s="174"/>
      <c r="AA18" s="174"/>
      <c r="AB18" s="174"/>
      <c r="AC18" s="174"/>
      <c r="AD18" s="175"/>
      <c r="AE18" s="133"/>
      <c r="AF18" s="133"/>
      <c r="AG18" s="133"/>
    </row>
    <row r="19" spans="6:33" x14ac:dyDescent="0.25">
      <c r="F19" t="s">
        <v>108</v>
      </c>
      <c r="G19" s="34">
        <v>10000</v>
      </c>
      <c r="H19"/>
      <c r="I19"/>
      <c r="J19"/>
      <c r="K19"/>
      <c r="L19"/>
      <c r="M19"/>
      <c r="N19"/>
      <c r="O19"/>
      <c r="R19" s="99"/>
      <c r="S19" s="181"/>
      <c r="T19" s="190"/>
      <c r="U19" s="190"/>
      <c r="V19" s="190"/>
      <c r="W19" s="190"/>
      <c r="X19" s="176"/>
      <c r="Y19" s="177"/>
      <c r="Z19" s="178"/>
      <c r="AA19" s="179"/>
      <c r="AB19" s="180"/>
      <c r="AC19" s="99"/>
      <c r="AD19" s="99"/>
      <c r="AE19" s="133"/>
      <c r="AF19" s="133"/>
      <c r="AG19" s="133"/>
    </row>
    <row r="20" spans="6:33" x14ac:dyDescent="0.25">
      <c r="F20" t="s">
        <v>109</v>
      </c>
      <c r="G20" s="34">
        <v>20000</v>
      </c>
      <c r="H20"/>
      <c r="I20"/>
      <c r="J20"/>
      <c r="K20"/>
      <c r="L20"/>
      <c r="M20"/>
      <c r="N20"/>
      <c r="O20"/>
      <c r="R20" s="99"/>
      <c r="S20" s="181"/>
      <c r="T20" s="190"/>
      <c r="U20" s="190"/>
      <c r="V20" s="190"/>
      <c r="W20" s="190"/>
      <c r="X20" s="181"/>
      <c r="Y20" s="181"/>
      <c r="Z20" s="182"/>
      <c r="AA20" s="183"/>
      <c r="AB20" s="182"/>
      <c r="AC20" s="99"/>
      <c r="AD20" s="99"/>
      <c r="AE20" s="133"/>
      <c r="AF20" s="133"/>
      <c r="AG20" s="133"/>
    </row>
    <row r="21" spans="6:33" x14ac:dyDescent="0.25">
      <c r="F21" t="s">
        <v>122</v>
      </c>
      <c r="G21" s="34">
        <v>10000</v>
      </c>
      <c r="H21"/>
      <c r="I21"/>
      <c r="J21"/>
      <c r="K21"/>
      <c r="L21"/>
      <c r="M21"/>
      <c r="N21"/>
      <c r="O21"/>
      <c r="R21" s="133"/>
      <c r="S21" s="133"/>
      <c r="T21" s="133"/>
      <c r="U21" s="133"/>
      <c r="V21" s="133"/>
      <c r="W21" s="133"/>
      <c r="X21" s="181"/>
      <c r="Y21" s="181"/>
      <c r="Z21" s="182"/>
      <c r="AA21" s="183"/>
      <c r="AB21" s="182"/>
      <c r="AC21" s="99"/>
      <c r="AD21" s="99"/>
      <c r="AE21" s="133"/>
      <c r="AF21" s="133"/>
      <c r="AG21" s="133"/>
    </row>
    <row r="22" spans="6:33" x14ac:dyDescent="0.25">
      <c r="F22" t="s">
        <v>110</v>
      </c>
      <c r="G22" s="34">
        <v>10000</v>
      </c>
      <c r="H22"/>
      <c r="I22"/>
      <c r="J22"/>
      <c r="K22"/>
      <c r="L22"/>
      <c r="M22"/>
      <c r="N22"/>
      <c r="O22"/>
      <c r="T22" s="133"/>
      <c r="X22" s="181"/>
      <c r="Y22" s="181"/>
      <c r="Z22" s="182"/>
      <c r="AA22" s="183"/>
      <c r="AB22" s="182"/>
      <c r="AC22" s="99"/>
      <c r="AD22" s="99"/>
      <c r="AE22" s="133"/>
      <c r="AF22" s="133"/>
      <c r="AG22" s="133"/>
    </row>
    <row r="23" spans="6:33" x14ac:dyDescent="0.25">
      <c r="F23" t="s">
        <v>111</v>
      </c>
      <c r="G23" s="34">
        <v>48000</v>
      </c>
      <c r="H23"/>
      <c r="I23"/>
      <c r="J23"/>
      <c r="K23"/>
      <c r="L23"/>
      <c r="M23"/>
      <c r="N23"/>
      <c r="O23"/>
      <c r="T23" s="133"/>
      <c r="X23" s="181"/>
      <c r="Y23" s="181"/>
      <c r="Z23" s="182"/>
      <c r="AA23" s="183"/>
      <c r="AB23" s="182"/>
      <c r="AC23" s="99"/>
      <c r="AD23" s="99"/>
      <c r="AE23" s="133"/>
      <c r="AF23" s="133"/>
      <c r="AG23" s="133"/>
    </row>
    <row r="24" spans="6:33" x14ac:dyDescent="0.25">
      <c r="F24" t="s">
        <v>112</v>
      </c>
      <c r="G24" s="34">
        <v>15000</v>
      </c>
      <c r="H24"/>
      <c r="I24"/>
      <c r="J24"/>
      <c r="K24"/>
      <c r="L24"/>
      <c r="M24"/>
      <c r="N24"/>
      <c r="O24"/>
      <c r="T24" s="133"/>
      <c r="X24" s="181"/>
      <c r="Y24" s="181"/>
      <c r="Z24" s="182"/>
      <c r="AA24" s="183"/>
      <c r="AB24" s="182"/>
      <c r="AC24" s="99"/>
      <c r="AD24" s="99"/>
      <c r="AE24" s="133"/>
      <c r="AF24" s="133"/>
      <c r="AG24" s="133"/>
    </row>
    <row r="25" spans="6:33" ht="17.25" x14ac:dyDescent="0.25">
      <c r="F25" s="22" t="s">
        <v>3</v>
      </c>
      <c r="G25" s="30">
        <f>SUM(G15:G24)</f>
        <v>393914</v>
      </c>
      <c r="H25"/>
      <c r="I25" s="54">
        <f>SUM((G25/54))</f>
        <v>7294.7037037037035</v>
      </c>
      <c r="J25" t="s">
        <v>136</v>
      </c>
      <c r="K25"/>
      <c r="L25"/>
      <c r="M25"/>
      <c r="N25"/>
      <c r="O25" t="s">
        <v>56</v>
      </c>
      <c r="P25" s="54">
        <f>SUM((G25-I15)/N9)</f>
        <v>61.134356113435608</v>
      </c>
      <c r="Q25" t="s">
        <v>258</v>
      </c>
      <c r="T25" s="133"/>
      <c r="U25" s="99"/>
      <c r="V25" s="99"/>
      <c r="W25" s="99"/>
      <c r="X25" s="181"/>
      <c r="Y25" s="181"/>
      <c r="Z25" s="182"/>
      <c r="AA25" s="183"/>
      <c r="AB25" s="182"/>
      <c r="AC25" s="99"/>
      <c r="AD25" s="99"/>
      <c r="AE25" s="133"/>
      <c r="AF25" s="133"/>
      <c r="AG25" s="133"/>
    </row>
    <row r="26" spans="6:33" ht="15" customHeight="1" x14ac:dyDescent="0.25">
      <c r="F26"/>
      <c r="G26"/>
      <c r="H26"/>
      <c r="I26"/>
      <c r="J26"/>
      <c r="K26"/>
      <c r="L26"/>
      <c r="M26"/>
      <c r="N26"/>
      <c r="O26" t="s">
        <v>56</v>
      </c>
      <c r="P26" s="54">
        <v>0</v>
      </c>
      <c r="Q26" t="s">
        <v>350</v>
      </c>
      <c r="T26" s="133"/>
      <c r="U26" s="155"/>
      <c r="V26" s="99"/>
      <c r="W26" s="99"/>
      <c r="X26" s="99"/>
      <c r="Y26" s="99"/>
      <c r="Z26" s="99"/>
      <c r="AA26" s="184"/>
      <c r="AB26" s="185"/>
      <c r="AC26" s="186"/>
      <c r="AD26" s="187"/>
      <c r="AE26" s="133"/>
      <c r="AF26" s="133"/>
      <c r="AG26" s="133"/>
    </row>
    <row r="27" spans="6:33" ht="17.25" x14ac:dyDescent="0.25">
      <c r="F27" s="16" t="s">
        <v>72</v>
      </c>
      <c r="G27" s="21" t="s">
        <v>57</v>
      </c>
      <c r="H27"/>
      <c r="I27"/>
      <c r="J27"/>
      <c r="K27" s="16"/>
      <c r="L27"/>
      <c r="M27"/>
      <c r="N27"/>
      <c r="O27" s="35" t="s">
        <v>56</v>
      </c>
      <c r="P27" s="54">
        <f>SUM(P26/G9)</f>
        <v>0</v>
      </c>
      <c r="Q27" s="35" t="s">
        <v>349</v>
      </c>
      <c r="R27" s="35"/>
      <c r="T27" s="133"/>
      <c r="U27" s="136"/>
      <c r="V27" s="160"/>
      <c r="W27" s="99"/>
      <c r="X27" s="99"/>
      <c r="Y27" s="99"/>
      <c r="Z27" s="99"/>
      <c r="AA27" s="99"/>
      <c r="AB27" s="99"/>
      <c r="AC27" s="155"/>
      <c r="AD27" s="171"/>
      <c r="AE27" s="133"/>
      <c r="AF27" s="133"/>
      <c r="AG27" s="133"/>
    </row>
    <row r="28" spans="6:33" x14ac:dyDescent="0.25">
      <c r="F28" t="s">
        <v>218</v>
      </c>
      <c r="G28" s="20">
        <f>54*224</f>
        <v>12096</v>
      </c>
      <c r="H28"/>
      <c r="I28"/>
      <c r="J28"/>
      <c r="M28"/>
      <c r="N28"/>
    </row>
    <row r="29" spans="6:33" x14ac:dyDescent="0.25">
      <c r="F29" t="s">
        <v>216</v>
      </c>
      <c r="G29" s="20">
        <f>54*508</f>
        <v>27432</v>
      </c>
      <c r="H29"/>
      <c r="I29"/>
      <c r="J29"/>
      <c r="M29"/>
      <c r="N29"/>
      <c r="O29"/>
    </row>
    <row r="30" spans="6:33" x14ac:dyDescent="0.25">
      <c r="F30" t="s">
        <v>217</v>
      </c>
      <c r="G30" s="20">
        <f>54*1136</f>
        <v>61344</v>
      </c>
      <c r="H30"/>
      <c r="I30"/>
      <c r="J30"/>
      <c r="M30"/>
      <c r="N30"/>
      <c r="O30"/>
    </row>
    <row r="31" spans="6:33" x14ac:dyDescent="0.25">
      <c r="F31" s="22" t="s">
        <v>3</v>
      </c>
      <c r="G31" s="30">
        <f>SUM(G28:G30)</f>
        <v>100872</v>
      </c>
      <c r="H31"/>
      <c r="I31" s="30">
        <f>SUM(G31/G9)</f>
        <v>1868</v>
      </c>
      <c r="J31" s="140" t="s">
        <v>219</v>
      </c>
      <c r="K31" s="22"/>
      <c r="L31" s="30"/>
      <c r="M31"/>
      <c r="N31"/>
      <c r="O31"/>
    </row>
    <row r="34" spans="1:4" x14ac:dyDescent="0.25">
      <c r="A34" s="35"/>
      <c r="B34" s="35"/>
      <c r="C34" s="35"/>
      <c r="D34" s="16"/>
    </row>
    <row r="35" spans="1:4" x14ac:dyDescent="0.25">
      <c r="A35" s="35"/>
      <c r="B35" s="35"/>
      <c r="C35" s="35"/>
      <c r="D35" s="16"/>
    </row>
    <row r="36" spans="1:4" x14ac:dyDescent="0.25">
      <c r="A36" s="35"/>
      <c r="B36" s="35"/>
      <c r="C36" s="165"/>
      <c r="D36" s="16"/>
    </row>
    <row r="37" spans="1:4" x14ac:dyDescent="0.25">
      <c r="A37" s="35"/>
      <c r="B37" s="35"/>
      <c r="C37" s="166"/>
      <c r="D37" s="16"/>
    </row>
    <row r="38" spans="1:4" x14ac:dyDescent="0.25">
      <c r="A38" s="35"/>
      <c r="C38" s="35"/>
      <c r="D38" s="167"/>
    </row>
  </sheetData>
  <sheetProtection selectLockedCells="1"/>
  <mergeCells count="3">
    <mergeCell ref="K9:L9"/>
    <mergeCell ref="K10:L10"/>
    <mergeCell ref="Y9:Z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workbookViewId="0">
      <selection activeCell="O30" sqref="O30"/>
    </sheetView>
  </sheetViews>
  <sheetFormatPr defaultRowHeight="15" x14ac:dyDescent="0.25"/>
  <cols>
    <col min="1" max="1" width="4.5703125" customWidth="1"/>
    <col min="2" max="2" width="26.85546875" bestFit="1" customWidth="1"/>
    <col min="3" max="3" width="6.5703125" bestFit="1" customWidth="1"/>
    <col min="4" max="4" width="7" bestFit="1" customWidth="1"/>
    <col min="5" max="5" width="5.28515625" customWidth="1"/>
    <col min="6" max="6" width="26.28515625" bestFit="1" customWidth="1"/>
    <col min="7" max="7" width="7.5703125" bestFit="1" customWidth="1"/>
    <col min="8" max="8" width="5.7109375" customWidth="1"/>
    <col min="9" max="9" width="9.85546875" customWidth="1"/>
    <col min="10" max="10" width="10.28515625" customWidth="1"/>
    <col min="11" max="11" width="15.42578125" bestFit="1" customWidth="1"/>
    <col min="12" max="12" width="10.42578125" customWidth="1"/>
    <col min="13" max="13" width="10.5703125" customWidth="1"/>
    <col min="14" max="14" width="5.85546875" customWidth="1"/>
    <col min="15" max="15" width="7.5703125" customWidth="1"/>
    <col min="16" max="16" width="6.7109375" customWidth="1"/>
    <col min="17" max="17" width="6.42578125" customWidth="1"/>
    <col min="18" max="18" width="12.85546875" customWidth="1"/>
    <col min="19" max="19" width="6" customWidth="1"/>
    <col min="20" max="20" width="6.28515625" customWidth="1"/>
    <col min="21" max="21" width="10.42578125" bestFit="1" customWidth="1"/>
    <col min="22" max="22" width="5.85546875" customWidth="1"/>
    <col min="25" max="25" width="10.140625" bestFit="1" customWidth="1"/>
    <col min="26" max="26" width="9.85546875" customWidth="1"/>
    <col min="27" max="27" width="10.7109375" customWidth="1"/>
  </cols>
  <sheetData>
    <row r="1" spans="2:28" x14ac:dyDescent="0.25">
      <c r="C1" s="135" t="s">
        <v>263</v>
      </c>
      <c r="D1" s="168" t="s">
        <v>264</v>
      </c>
      <c r="F1" s="16" t="s">
        <v>281</v>
      </c>
      <c r="P1" s="35"/>
      <c r="R1" s="16" t="s">
        <v>271</v>
      </c>
    </row>
    <row r="2" spans="2:28" ht="30" customHeight="1" x14ac:dyDescent="0.25">
      <c r="B2" t="s">
        <v>224</v>
      </c>
      <c r="C2" s="29">
        <f>23*0.05</f>
        <v>1.1500000000000001</v>
      </c>
      <c r="D2" s="16"/>
      <c r="F2" s="2" t="s">
        <v>0</v>
      </c>
      <c r="G2" s="2" t="s">
        <v>53</v>
      </c>
      <c r="H2" s="2" t="s">
        <v>161</v>
      </c>
      <c r="I2" s="2" t="s">
        <v>174</v>
      </c>
      <c r="J2" s="2" t="s">
        <v>265</v>
      </c>
      <c r="K2" s="69" t="s">
        <v>159</v>
      </c>
      <c r="L2" s="2" t="s">
        <v>176</v>
      </c>
      <c r="M2" s="2" t="s">
        <v>169</v>
      </c>
      <c r="N2" s="9" t="s">
        <v>32</v>
      </c>
      <c r="O2" s="9" t="s">
        <v>160</v>
      </c>
      <c r="P2" s="9" t="s">
        <v>192</v>
      </c>
      <c r="R2" s="27" t="s">
        <v>0</v>
      </c>
      <c r="S2" s="27" t="s">
        <v>53</v>
      </c>
      <c r="T2" s="27" t="s">
        <v>266</v>
      </c>
      <c r="U2" s="27" t="s">
        <v>278</v>
      </c>
      <c r="V2" s="27" t="s">
        <v>266</v>
      </c>
      <c r="W2" s="27" t="s">
        <v>267</v>
      </c>
      <c r="X2" s="27" t="s">
        <v>268</v>
      </c>
      <c r="Y2" s="27" t="s">
        <v>269</v>
      </c>
      <c r="Z2" s="27" t="s">
        <v>279</v>
      </c>
      <c r="AA2" s="27" t="s">
        <v>270</v>
      </c>
    </row>
    <row r="3" spans="2:28" x14ac:dyDescent="0.25">
      <c r="B3" t="s">
        <v>225</v>
      </c>
      <c r="C3" s="29">
        <f>SUM(1.15*0.8)</f>
        <v>0.91999999999999993</v>
      </c>
      <c r="D3" s="16">
        <v>1</v>
      </c>
      <c r="F3" s="94" t="s">
        <v>165</v>
      </c>
      <c r="G3" s="95">
        <v>1</v>
      </c>
      <c r="H3" s="95">
        <v>59</v>
      </c>
      <c r="I3" s="94" t="s">
        <v>272</v>
      </c>
      <c r="J3" s="96">
        <v>109400</v>
      </c>
      <c r="K3" s="96">
        <f>SUM(J3*G3)</f>
        <v>109400</v>
      </c>
      <c r="L3" s="96"/>
      <c r="M3" s="97">
        <f>SUM(K3*0.37)</f>
        <v>40478</v>
      </c>
      <c r="N3" s="10">
        <f>SUM(G3*H3)</f>
        <v>59</v>
      </c>
      <c r="O3" s="7"/>
      <c r="P3" s="125">
        <f>N3</f>
        <v>59</v>
      </c>
      <c r="R3" s="92" t="s">
        <v>11</v>
      </c>
      <c r="S3" s="3">
        <v>2</v>
      </c>
      <c r="T3" s="3">
        <v>58</v>
      </c>
      <c r="U3" s="89" t="s">
        <v>145</v>
      </c>
      <c r="V3" s="169">
        <v>46</v>
      </c>
      <c r="W3" s="189">
        <v>86600</v>
      </c>
      <c r="X3" s="191">
        <f>SUM(W3/V3)</f>
        <v>1882.608695652174</v>
      </c>
      <c r="Y3" s="142">
        <f>SUM(S3*T3*X3)</f>
        <v>218382.60869565219</v>
      </c>
      <c r="Z3" s="13"/>
      <c r="AA3" s="13"/>
    </row>
    <row r="4" spans="2:28" x14ac:dyDescent="0.25">
      <c r="B4" t="s">
        <v>226</v>
      </c>
      <c r="C4" s="29">
        <f>SUM(1.15*0.2)</f>
        <v>0.22999999999999998</v>
      </c>
      <c r="D4" s="16">
        <v>0</v>
      </c>
      <c r="F4" s="3" t="s">
        <v>11</v>
      </c>
      <c r="G4" s="3">
        <v>2</v>
      </c>
      <c r="H4" s="3">
        <v>58</v>
      </c>
      <c r="I4" s="3"/>
      <c r="J4" s="4"/>
      <c r="K4" s="4"/>
      <c r="L4" s="3"/>
      <c r="M4" s="3"/>
      <c r="N4" s="10">
        <f>SUM(G4*H4)</f>
        <v>116</v>
      </c>
      <c r="O4" s="7"/>
      <c r="P4" s="7"/>
      <c r="R4" s="92" t="s">
        <v>12</v>
      </c>
      <c r="S4" s="3">
        <v>14</v>
      </c>
      <c r="T4" s="3">
        <v>59</v>
      </c>
      <c r="U4" s="89" t="s">
        <v>272</v>
      </c>
      <c r="V4" s="169">
        <v>59</v>
      </c>
      <c r="W4" s="189">
        <v>109400</v>
      </c>
      <c r="X4" s="191">
        <f t="shared" ref="X4" si="0">SUM(W4/V4)</f>
        <v>1854.2372881355932</v>
      </c>
      <c r="Y4" s="142">
        <f t="shared" ref="Y4" si="1">SUM(S4*T4*X4)</f>
        <v>1531600</v>
      </c>
      <c r="Z4" s="13"/>
      <c r="AA4" s="13"/>
    </row>
    <row r="5" spans="2:28" x14ac:dyDescent="0.25">
      <c r="B5" s="35" t="s">
        <v>210</v>
      </c>
      <c r="C5" s="135"/>
      <c r="D5" s="16">
        <v>0.15</v>
      </c>
      <c r="F5" s="3" t="s">
        <v>12</v>
      </c>
      <c r="G5" s="3">
        <v>13</v>
      </c>
      <c r="H5" s="3">
        <v>59</v>
      </c>
      <c r="I5" s="3"/>
      <c r="J5" s="4"/>
      <c r="K5" s="4"/>
      <c r="L5" s="3"/>
      <c r="M5" s="3"/>
      <c r="N5" s="10">
        <f t="shared" ref="N5:N6" si="2">SUM(G5*H5)</f>
        <v>767</v>
      </c>
      <c r="O5" s="7"/>
      <c r="P5" s="7"/>
      <c r="R5" s="92" t="s">
        <v>14</v>
      </c>
      <c r="S5" s="3">
        <v>7</v>
      </c>
      <c r="T5" s="3">
        <v>97</v>
      </c>
      <c r="U5" s="169" t="s">
        <v>141</v>
      </c>
      <c r="V5" s="169">
        <v>94</v>
      </c>
      <c r="W5" s="189">
        <v>142600</v>
      </c>
      <c r="X5" s="191">
        <f>SUM(W5/V5)</f>
        <v>1517.0212765957447</v>
      </c>
      <c r="Y5" s="142">
        <f>SUM(S5*T5*X5)</f>
        <v>1030057.4468085106</v>
      </c>
      <c r="Z5" s="13"/>
      <c r="AA5" s="13"/>
    </row>
    <row r="6" spans="2:28" x14ac:dyDescent="0.25">
      <c r="F6" s="3" t="s">
        <v>14</v>
      </c>
      <c r="G6" s="3">
        <v>7</v>
      </c>
      <c r="H6" s="3">
        <v>97</v>
      </c>
      <c r="I6" s="3"/>
      <c r="J6" s="4"/>
      <c r="K6" s="4"/>
      <c r="L6" s="3"/>
      <c r="M6" s="3"/>
      <c r="N6" s="10">
        <f t="shared" si="2"/>
        <v>679</v>
      </c>
      <c r="O6" s="7"/>
      <c r="P6" s="7"/>
      <c r="R6" s="188" t="s">
        <v>3</v>
      </c>
      <c r="S6" s="192">
        <f>SUM(S3:S5)</f>
        <v>23</v>
      </c>
      <c r="X6" s="21" t="s">
        <v>3</v>
      </c>
      <c r="Y6" s="170">
        <f>SUM(Y3:Y5)</f>
        <v>2780040.0555041628</v>
      </c>
      <c r="Z6" s="195">
        <f>SUM(Y6*0.05)</f>
        <v>139002.00277520815</v>
      </c>
      <c r="AA6" s="196">
        <f>SUM(Z6*0.604)</f>
        <v>83957.209676225728</v>
      </c>
    </row>
    <row r="7" spans="2:28" ht="15.75" x14ac:dyDescent="0.25">
      <c r="F7" s="6" t="s">
        <v>3</v>
      </c>
      <c r="G7" s="17">
        <f>SUM(G3:G6)</f>
        <v>23</v>
      </c>
      <c r="H7" s="3"/>
      <c r="I7" s="7"/>
      <c r="J7" s="3"/>
      <c r="K7" s="285" t="s">
        <v>177</v>
      </c>
      <c r="L7" s="286"/>
      <c r="M7" s="198">
        <f>M3</f>
        <v>40478</v>
      </c>
      <c r="N7" s="129">
        <f>SUM(N3:N6)</f>
        <v>1621</v>
      </c>
      <c r="O7" s="11">
        <f>SUM(N4:N6)</f>
        <v>1562</v>
      </c>
      <c r="P7" s="7"/>
      <c r="Y7" s="289" t="s">
        <v>280</v>
      </c>
      <c r="Z7" s="290"/>
      <c r="AA7" s="197">
        <f>SUM(AA6/(S6*0.05))</f>
        <v>73006.269283674541</v>
      </c>
    </row>
    <row r="8" spans="2:28" ht="15.75" x14ac:dyDescent="0.25">
      <c r="F8" s="3"/>
      <c r="G8" s="3"/>
      <c r="H8" s="3"/>
      <c r="I8" s="3"/>
      <c r="J8" s="3"/>
      <c r="K8" s="287" t="s">
        <v>227</v>
      </c>
      <c r="L8" s="288"/>
      <c r="M8" s="86">
        <f>SUM(73006*0.15)</f>
        <v>10950.9</v>
      </c>
      <c r="N8" s="110" t="s">
        <v>179</v>
      </c>
    </row>
    <row r="9" spans="2:28" x14ac:dyDescent="0.25">
      <c r="F9" s="105" t="s">
        <v>132</v>
      </c>
      <c r="G9" s="106">
        <f>SUM(16*879)</f>
        <v>14064</v>
      </c>
      <c r="H9" s="99"/>
    </row>
    <row r="10" spans="2:28" ht="15.75" x14ac:dyDescent="0.25">
      <c r="F10" s="105" t="s">
        <v>213</v>
      </c>
      <c r="G10" s="106">
        <f>SUM(7*3075)</f>
        <v>21525</v>
      </c>
      <c r="H10" s="99"/>
      <c r="I10" s="100"/>
      <c r="J10" s="100"/>
      <c r="K10" s="100"/>
      <c r="L10" s="137"/>
      <c r="M10" s="104"/>
      <c r="N10" s="99"/>
      <c r="O10" s="99"/>
    </row>
    <row r="11" spans="2:28" ht="15.75" x14ac:dyDescent="0.25">
      <c r="F11" s="107" t="s">
        <v>3</v>
      </c>
      <c r="G11" s="108">
        <f>SUM(G9:G10)</f>
        <v>35589</v>
      </c>
      <c r="H11" s="99" t="s">
        <v>180</v>
      </c>
      <c r="I11" s="99"/>
      <c r="J11" s="99"/>
      <c r="K11" s="99"/>
      <c r="L11" s="103"/>
      <c r="M11" s="104"/>
      <c r="N11" s="138"/>
      <c r="O11" s="99"/>
    </row>
    <row r="12" spans="2:28" ht="15" customHeight="1" x14ac:dyDescent="0.25"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</row>
    <row r="13" spans="2:28" ht="17.25" x14ac:dyDescent="0.25">
      <c r="F13" s="16" t="s">
        <v>56</v>
      </c>
      <c r="G13" s="21" t="s">
        <v>57</v>
      </c>
      <c r="K13" s="21" t="s">
        <v>56</v>
      </c>
      <c r="L13" s="54">
        <v>0</v>
      </c>
      <c r="M13" t="s">
        <v>258</v>
      </c>
    </row>
    <row r="14" spans="2:28" ht="17.25" x14ac:dyDescent="0.25">
      <c r="F14" s="52" t="s">
        <v>132</v>
      </c>
      <c r="G14" s="36">
        <f>SUM(16*879)</f>
        <v>14064</v>
      </c>
      <c r="I14" s="30"/>
      <c r="K14" s="21" t="s">
        <v>56</v>
      </c>
      <c r="L14" s="54">
        <v>0</v>
      </c>
      <c r="M14" t="s">
        <v>350</v>
      </c>
    </row>
    <row r="15" spans="2:28" ht="17.25" x14ac:dyDescent="0.25">
      <c r="F15" s="51" t="s">
        <v>137</v>
      </c>
      <c r="G15" s="36">
        <f>SUM(7*3075)</f>
        <v>21525</v>
      </c>
      <c r="K15" s="49" t="s">
        <v>56</v>
      </c>
      <c r="L15" s="54">
        <v>0</v>
      </c>
      <c r="M15" s="35" t="s">
        <v>349</v>
      </c>
      <c r="N15" s="35"/>
      <c r="Q15" s="133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33"/>
    </row>
    <row r="16" spans="2:28" x14ac:dyDescent="0.25">
      <c r="F16" s="22" t="s">
        <v>3</v>
      </c>
      <c r="G16" s="30">
        <f>SUM(G14:G15)</f>
        <v>35589</v>
      </c>
      <c r="Q16" s="133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133"/>
    </row>
    <row r="17" spans="6:28" ht="15" customHeight="1" x14ac:dyDescent="0.25">
      <c r="Q17" s="133"/>
      <c r="R17" s="155"/>
      <c r="S17" s="99"/>
      <c r="T17" s="99"/>
      <c r="U17" s="99"/>
      <c r="V17" s="99"/>
      <c r="W17" s="99"/>
      <c r="X17" s="99"/>
      <c r="Y17" s="99"/>
      <c r="Z17" s="99"/>
      <c r="AA17" s="99"/>
      <c r="AB17" s="133"/>
    </row>
    <row r="18" spans="6:28" x14ac:dyDescent="0.25">
      <c r="F18" s="41" t="s">
        <v>92</v>
      </c>
      <c r="G18" s="21" t="s">
        <v>57</v>
      </c>
      <c r="Q18" s="133"/>
      <c r="V18" s="174"/>
      <c r="W18" s="174"/>
      <c r="X18" s="174"/>
      <c r="Y18" s="174"/>
      <c r="Z18" s="175"/>
      <c r="AA18" s="175"/>
      <c r="AB18" s="133"/>
    </row>
    <row r="19" spans="6:28" x14ac:dyDescent="0.25">
      <c r="F19" s="35" t="s">
        <v>123</v>
      </c>
      <c r="G19" s="48" t="s">
        <v>91</v>
      </c>
      <c r="H19" s="35"/>
      <c r="Q19" s="133"/>
      <c r="V19" s="177"/>
      <c r="W19" s="193"/>
      <c r="X19" s="183"/>
      <c r="Y19" s="178"/>
      <c r="Z19" s="99"/>
      <c r="AA19" s="99"/>
      <c r="AB19" s="133"/>
    </row>
    <row r="20" spans="6:28" x14ac:dyDescent="0.25">
      <c r="F20" s="35" t="s">
        <v>107</v>
      </c>
      <c r="G20" s="48" t="s">
        <v>91</v>
      </c>
      <c r="H20" s="35"/>
      <c r="Q20" s="133"/>
      <c r="V20" s="181"/>
      <c r="W20" s="182"/>
      <c r="X20" s="183"/>
      <c r="Y20" s="178"/>
      <c r="Z20" s="99"/>
      <c r="AA20" s="99"/>
      <c r="AB20" s="133"/>
    </row>
    <row r="21" spans="6:28" ht="14.25" customHeight="1" x14ac:dyDescent="0.25">
      <c r="F21" s="35"/>
      <c r="G21" s="49"/>
      <c r="H21" s="35"/>
      <c r="Q21" s="133"/>
      <c r="V21" s="181"/>
      <c r="W21" s="182"/>
      <c r="X21" s="183"/>
      <c r="Y21" s="178"/>
      <c r="Z21" s="99"/>
      <c r="AA21" s="99"/>
      <c r="AB21" s="133"/>
    </row>
    <row r="22" spans="6:28" x14ac:dyDescent="0.25">
      <c r="F22" s="16" t="s">
        <v>72</v>
      </c>
      <c r="G22" s="21" t="s">
        <v>57</v>
      </c>
      <c r="K22" s="16"/>
      <c r="Q22" s="133"/>
      <c r="R22" s="99"/>
      <c r="S22" s="99"/>
      <c r="T22" s="99"/>
      <c r="U22" s="99"/>
      <c r="V22" s="181"/>
      <c r="W22" s="182"/>
      <c r="X22" s="183"/>
      <c r="Y22" s="178"/>
      <c r="Z22" s="99"/>
      <c r="AA22" s="99"/>
      <c r="AB22" s="133"/>
    </row>
    <row r="23" spans="6:28" x14ac:dyDescent="0.25">
      <c r="F23" t="s">
        <v>218</v>
      </c>
      <c r="G23" s="20">
        <f>23*224</f>
        <v>5152</v>
      </c>
      <c r="L23" s="20"/>
      <c r="Q23" s="133"/>
      <c r="R23" s="99"/>
      <c r="S23" s="173"/>
      <c r="T23" s="99"/>
      <c r="U23" s="99"/>
      <c r="V23" s="99"/>
      <c r="W23" s="99"/>
      <c r="X23" s="184"/>
      <c r="Y23" s="194"/>
      <c r="Z23" s="186"/>
      <c r="AA23" s="171"/>
      <c r="AB23" s="133"/>
    </row>
    <row r="24" spans="6:28" x14ac:dyDescent="0.25">
      <c r="F24" t="s">
        <v>216</v>
      </c>
      <c r="G24" s="20">
        <f>23*508</f>
        <v>11684</v>
      </c>
      <c r="L24" s="20"/>
      <c r="Q24" s="133"/>
      <c r="R24" s="136"/>
      <c r="S24" s="160"/>
      <c r="T24" s="99"/>
      <c r="U24" s="99"/>
      <c r="V24" s="99"/>
      <c r="W24" s="99"/>
      <c r="X24" s="99"/>
      <c r="Y24" s="291"/>
      <c r="Z24" s="291"/>
      <c r="AA24" s="171"/>
      <c r="AB24" s="133"/>
    </row>
    <row r="25" spans="6:28" x14ac:dyDescent="0.25">
      <c r="F25" t="s">
        <v>217</v>
      </c>
      <c r="G25" s="20">
        <f>23*1136</f>
        <v>26128</v>
      </c>
      <c r="L25" s="20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</row>
    <row r="26" spans="6:28" x14ac:dyDescent="0.25">
      <c r="F26" s="22" t="s">
        <v>3</v>
      </c>
      <c r="G26" s="30">
        <f>SUM(G23:G25)</f>
        <v>42964</v>
      </c>
      <c r="I26" s="30">
        <f>SUM(G26/G7)</f>
        <v>1868</v>
      </c>
      <c r="J26" t="s">
        <v>219</v>
      </c>
      <c r="K26" s="22"/>
      <c r="L26" s="30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</row>
    <row r="27" spans="6:28" x14ac:dyDescent="0.25"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</row>
    <row r="28" spans="6:28" x14ac:dyDescent="0.25"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</row>
  </sheetData>
  <sheetProtection selectLockedCells="1"/>
  <mergeCells count="4">
    <mergeCell ref="K7:L7"/>
    <mergeCell ref="K8:L8"/>
    <mergeCell ref="Y24:Z24"/>
    <mergeCell ref="Y7:Z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5"/>
  <sheetViews>
    <sheetView topLeftCell="D7" zoomScale="110" zoomScaleNormal="110" workbookViewId="0">
      <selection activeCell="N33" sqref="N33"/>
    </sheetView>
  </sheetViews>
  <sheetFormatPr defaultRowHeight="15" x14ac:dyDescent="0.25"/>
  <cols>
    <col min="1" max="1" width="4.5703125" style="35" customWidth="1"/>
    <col min="2" max="2" width="28.85546875" style="35" bestFit="1" customWidth="1"/>
    <col min="3" max="3" width="6.5703125" style="35" bestFit="1" customWidth="1"/>
    <col min="4" max="4" width="7" style="35" bestFit="1" customWidth="1"/>
    <col min="5" max="5" width="5" style="35" customWidth="1"/>
    <col min="6" max="6" width="34.7109375" style="35" customWidth="1"/>
    <col min="7" max="7" width="10.28515625" style="35" customWidth="1"/>
    <col min="8" max="8" width="6.42578125" style="35" customWidth="1"/>
    <col min="9" max="9" width="10" style="35" customWidth="1"/>
    <col min="10" max="10" width="10.42578125" style="35" customWidth="1"/>
    <col min="11" max="11" width="10.85546875" style="35" customWidth="1"/>
    <col min="12" max="12" width="11" style="35" customWidth="1"/>
    <col min="13" max="13" width="12.5703125" style="35" bestFit="1" customWidth="1"/>
    <col min="14" max="14" width="7.42578125" style="35" customWidth="1"/>
    <col min="15" max="15" width="7.85546875" style="35" customWidth="1"/>
    <col min="16" max="16" width="6.7109375" style="35" customWidth="1"/>
    <col min="17" max="17" width="4.85546875" style="35" customWidth="1"/>
    <col min="18" max="18" width="16" style="35" customWidth="1"/>
    <col min="19" max="19" width="5" style="35" bestFit="1" customWidth="1"/>
    <col min="20" max="20" width="4.5703125" style="35" bestFit="1" customWidth="1"/>
    <col min="21" max="21" width="7" style="35" bestFit="1" customWidth="1"/>
    <col min="22" max="22" width="4.5703125" style="35" bestFit="1" customWidth="1"/>
    <col min="23" max="23" width="9.140625" style="35"/>
    <col min="24" max="24" width="9.7109375" style="35" bestFit="1" customWidth="1"/>
    <col min="25" max="25" width="12.5703125" style="35" customWidth="1"/>
    <col min="26" max="26" width="10.28515625" style="35" bestFit="1" customWidth="1"/>
    <col min="27" max="27" width="11.140625" style="35" customWidth="1"/>
    <col min="28" max="28" width="7.140625" style="35" customWidth="1"/>
    <col min="29" max="16384" width="9.140625" style="35"/>
  </cols>
  <sheetData>
    <row r="1" spans="2:28" customFormat="1" x14ac:dyDescent="0.25">
      <c r="C1" s="135" t="s">
        <v>263</v>
      </c>
      <c r="D1" s="168" t="s">
        <v>264</v>
      </c>
      <c r="F1" s="16" t="s">
        <v>254</v>
      </c>
      <c r="P1" s="35"/>
      <c r="R1" s="16" t="s">
        <v>271</v>
      </c>
      <c r="AB1" s="35"/>
    </row>
    <row r="2" spans="2:28" ht="30" x14ac:dyDescent="0.25">
      <c r="B2" t="s">
        <v>207</v>
      </c>
      <c r="C2" s="29">
        <f>135*0.25</f>
        <v>33.75</v>
      </c>
      <c r="D2" s="16"/>
      <c r="F2" s="69" t="s">
        <v>0</v>
      </c>
      <c r="G2" s="69" t="s">
        <v>53</v>
      </c>
      <c r="H2" s="69" t="s">
        <v>161</v>
      </c>
      <c r="I2" s="69" t="s">
        <v>174</v>
      </c>
      <c r="J2" s="69" t="s">
        <v>170</v>
      </c>
      <c r="K2" s="2" t="s">
        <v>159</v>
      </c>
      <c r="L2" s="69" t="s">
        <v>146</v>
      </c>
      <c r="M2" s="69" t="s">
        <v>169</v>
      </c>
      <c r="N2" s="70" t="s">
        <v>32</v>
      </c>
      <c r="O2" s="70" t="s">
        <v>160</v>
      </c>
      <c r="P2" s="9" t="s">
        <v>192</v>
      </c>
      <c r="R2" s="27" t="s">
        <v>0</v>
      </c>
      <c r="S2" s="27" t="s">
        <v>53</v>
      </c>
      <c r="T2" s="27" t="s">
        <v>266</v>
      </c>
      <c r="U2" s="27" t="s">
        <v>278</v>
      </c>
      <c r="V2" s="27" t="s">
        <v>266</v>
      </c>
      <c r="W2" s="27" t="s">
        <v>283</v>
      </c>
      <c r="X2" s="27" t="s">
        <v>268</v>
      </c>
      <c r="Y2" s="27" t="s">
        <v>269</v>
      </c>
      <c r="Z2" s="27" t="s">
        <v>284</v>
      </c>
      <c r="AA2" s="27" t="s">
        <v>270</v>
      </c>
    </row>
    <row r="3" spans="2:28" x14ac:dyDescent="0.25">
      <c r="B3" t="s">
        <v>208</v>
      </c>
      <c r="C3" s="29">
        <f>SUM(33.75*0.8)</f>
        <v>27</v>
      </c>
      <c r="D3" s="16">
        <v>27</v>
      </c>
      <c r="F3" s="80" t="s">
        <v>162</v>
      </c>
      <c r="G3" s="59">
        <v>4</v>
      </c>
      <c r="H3" s="81">
        <v>67</v>
      </c>
      <c r="I3" s="83"/>
      <c r="J3" s="61">
        <f>SUM(H3*1900)</f>
        <v>127300</v>
      </c>
      <c r="K3" s="61">
        <f t="shared" ref="K3:K9" si="0">SUM(J3*G3)</f>
        <v>509200</v>
      </c>
      <c r="L3" s="61">
        <f>SUM(K3*0.5)</f>
        <v>254600</v>
      </c>
      <c r="M3" s="61"/>
      <c r="N3" s="73">
        <f t="shared" ref="N3:N9" si="1">SUM(G3*H3)</f>
        <v>268</v>
      </c>
      <c r="O3" s="56"/>
      <c r="P3" s="56"/>
      <c r="R3" s="92" t="s">
        <v>13</v>
      </c>
      <c r="S3" s="209">
        <v>4</v>
      </c>
      <c r="T3" s="210">
        <v>67</v>
      </c>
      <c r="U3" s="209" t="s">
        <v>140</v>
      </c>
      <c r="V3" s="89">
        <v>83</v>
      </c>
      <c r="W3" s="143">
        <v>137500</v>
      </c>
      <c r="X3" s="212">
        <f t="shared" ref="X3:X4" si="2">SUM(W3/V3)</f>
        <v>1656.6265060240964</v>
      </c>
      <c r="Y3" s="213">
        <f t="shared" ref="Y3:Y4" si="3">SUM(S3*T3*X3)</f>
        <v>443975.90361445787</v>
      </c>
      <c r="Z3" s="169"/>
      <c r="AA3" s="169"/>
    </row>
    <row r="4" spans="2:28" x14ac:dyDescent="0.25">
      <c r="B4" t="s">
        <v>209</v>
      </c>
      <c r="C4" s="29">
        <f>SUM(33.75*0.2)</f>
        <v>6.75</v>
      </c>
      <c r="D4" s="16">
        <v>6</v>
      </c>
      <c r="F4" s="80" t="s">
        <v>163</v>
      </c>
      <c r="G4" s="59">
        <v>2</v>
      </c>
      <c r="H4" s="81">
        <v>78</v>
      </c>
      <c r="I4" s="83"/>
      <c r="J4" s="61">
        <f>SUM(H4*1900)</f>
        <v>148200</v>
      </c>
      <c r="K4" s="61">
        <f t="shared" si="0"/>
        <v>296400</v>
      </c>
      <c r="L4" s="61">
        <f>SUM(K4*0.5)</f>
        <v>148200</v>
      </c>
      <c r="M4" s="61"/>
      <c r="N4" s="73">
        <f t="shared" si="1"/>
        <v>156</v>
      </c>
      <c r="O4" s="56"/>
      <c r="P4" s="56"/>
      <c r="R4" s="92" t="s">
        <v>14</v>
      </c>
      <c r="S4" s="209">
        <v>2</v>
      </c>
      <c r="T4" s="209">
        <v>78</v>
      </c>
      <c r="U4" s="209" t="s">
        <v>228</v>
      </c>
      <c r="V4" s="169">
        <v>88</v>
      </c>
      <c r="W4" s="189">
        <v>143900</v>
      </c>
      <c r="X4" s="212">
        <f t="shared" si="2"/>
        <v>1635.2272727272727</v>
      </c>
      <c r="Y4" s="213">
        <f t="shared" si="3"/>
        <v>255095.45454545456</v>
      </c>
      <c r="Z4" s="169"/>
      <c r="AA4" s="169"/>
    </row>
    <row r="5" spans="2:28" x14ac:dyDescent="0.25">
      <c r="B5" s="35" t="s">
        <v>210</v>
      </c>
      <c r="C5" s="135"/>
      <c r="D5" s="16">
        <v>0.75</v>
      </c>
      <c r="F5" s="58" t="s">
        <v>164</v>
      </c>
      <c r="G5" s="59">
        <v>9</v>
      </c>
      <c r="H5" s="59">
        <v>46</v>
      </c>
      <c r="I5" s="59" t="s">
        <v>145</v>
      </c>
      <c r="J5" s="61">
        <v>91200</v>
      </c>
      <c r="K5" s="61">
        <f t="shared" si="0"/>
        <v>820800</v>
      </c>
      <c r="L5" s="61"/>
      <c r="M5" s="61">
        <f>SUM(K5*0.37)</f>
        <v>303696</v>
      </c>
      <c r="N5" s="73">
        <f t="shared" si="1"/>
        <v>414</v>
      </c>
      <c r="O5" s="56"/>
      <c r="P5" s="56"/>
      <c r="R5" s="92" t="s">
        <v>11</v>
      </c>
      <c r="S5" s="209">
        <v>9</v>
      </c>
      <c r="T5" s="209">
        <v>46</v>
      </c>
      <c r="U5" s="209" t="s">
        <v>145</v>
      </c>
      <c r="V5" s="89">
        <v>46</v>
      </c>
      <c r="W5" s="143">
        <v>91200</v>
      </c>
      <c r="X5" s="212">
        <f>SUM(W5/V5)</f>
        <v>1982.608695652174</v>
      </c>
      <c r="Y5" s="213">
        <f>SUM(S5*T5*X5)</f>
        <v>820800</v>
      </c>
      <c r="Z5" s="13"/>
      <c r="AA5" s="13"/>
    </row>
    <row r="6" spans="2:28" x14ac:dyDescent="0.25">
      <c r="F6" s="58" t="s">
        <v>165</v>
      </c>
      <c r="G6" s="59">
        <v>5</v>
      </c>
      <c r="H6" s="59">
        <v>59</v>
      </c>
      <c r="I6" s="59" t="s">
        <v>272</v>
      </c>
      <c r="J6" s="61">
        <v>114500</v>
      </c>
      <c r="K6" s="61">
        <f t="shared" si="0"/>
        <v>572500</v>
      </c>
      <c r="L6" s="61"/>
      <c r="M6" s="61">
        <f t="shared" ref="M6:M9" si="4">SUM(K6*0.37)</f>
        <v>211825</v>
      </c>
      <c r="N6" s="73">
        <f t="shared" si="1"/>
        <v>295</v>
      </c>
      <c r="O6" s="56"/>
      <c r="P6" s="56"/>
      <c r="R6" s="92" t="s">
        <v>12</v>
      </c>
      <c r="S6" s="209">
        <v>5</v>
      </c>
      <c r="T6" s="209">
        <v>59</v>
      </c>
      <c r="U6" s="209" t="s">
        <v>272</v>
      </c>
      <c r="V6" s="89">
        <v>59</v>
      </c>
      <c r="W6" s="143">
        <v>114500</v>
      </c>
      <c r="X6" s="212">
        <f t="shared" ref="X6:X14" si="5">SUM(W6/V6)</f>
        <v>1940.6779661016949</v>
      </c>
      <c r="Y6" s="213">
        <f t="shared" ref="Y6:Y14" si="6">SUM(S6*T6*X6)</f>
        <v>572500</v>
      </c>
      <c r="Z6" s="13"/>
      <c r="AA6" s="13"/>
    </row>
    <row r="7" spans="2:28" x14ac:dyDescent="0.25">
      <c r="F7" s="80" t="s">
        <v>168</v>
      </c>
      <c r="G7" s="59">
        <v>7</v>
      </c>
      <c r="H7" s="59">
        <v>83</v>
      </c>
      <c r="I7" s="59" t="s">
        <v>140</v>
      </c>
      <c r="J7" s="61">
        <v>137500</v>
      </c>
      <c r="K7" s="61">
        <f t="shared" si="0"/>
        <v>962500</v>
      </c>
      <c r="L7" s="61"/>
      <c r="M7" s="61">
        <f t="shared" si="4"/>
        <v>356125</v>
      </c>
      <c r="N7" s="73">
        <f t="shared" si="1"/>
        <v>581</v>
      </c>
      <c r="O7" s="56"/>
      <c r="P7" s="56"/>
      <c r="R7" s="92" t="s">
        <v>13</v>
      </c>
      <c r="S7" s="209">
        <v>7</v>
      </c>
      <c r="T7" s="209">
        <v>83</v>
      </c>
      <c r="U7" s="209" t="s">
        <v>140</v>
      </c>
      <c r="V7" s="89">
        <v>83</v>
      </c>
      <c r="W7" s="143">
        <v>137500</v>
      </c>
      <c r="X7" s="212">
        <f t="shared" si="5"/>
        <v>1656.6265060240964</v>
      </c>
      <c r="Y7" s="213">
        <f t="shared" si="6"/>
        <v>962500</v>
      </c>
      <c r="Z7" s="13"/>
      <c r="AA7" s="13"/>
    </row>
    <row r="8" spans="2:28" x14ac:dyDescent="0.25">
      <c r="F8" s="80" t="s">
        <v>167</v>
      </c>
      <c r="G8" s="59">
        <v>5</v>
      </c>
      <c r="H8" s="59">
        <v>94</v>
      </c>
      <c r="I8" s="59" t="s">
        <v>141</v>
      </c>
      <c r="J8" s="61">
        <v>153600</v>
      </c>
      <c r="K8" s="61">
        <f t="shared" si="0"/>
        <v>768000</v>
      </c>
      <c r="L8" s="61"/>
      <c r="M8" s="61">
        <f t="shared" si="4"/>
        <v>284160</v>
      </c>
      <c r="N8" s="73">
        <f t="shared" si="1"/>
        <v>470</v>
      </c>
      <c r="O8" s="56"/>
      <c r="P8" s="56"/>
      <c r="R8" s="92" t="s">
        <v>14</v>
      </c>
      <c r="S8" s="209">
        <v>5</v>
      </c>
      <c r="T8" s="209">
        <v>94</v>
      </c>
      <c r="U8" s="209" t="s">
        <v>141</v>
      </c>
      <c r="V8" s="89">
        <v>94</v>
      </c>
      <c r="W8" s="143">
        <v>153600</v>
      </c>
      <c r="X8" s="212">
        <f t="shared" si="5"/>
        <v>1634.0425531914893</v>
      </c>
      <c r="Y8" s="213">
        <f t="shared" si="6"/>
        <v>768000</v>
      </c>
      <c r="Z8" s="13"/>
      <c r="AA8" s="13"/>
    </row>
    <row r="9" spans="2:28" x14ac:dyDescent="0.25">
      <c r="F9" s="58" t="s">
        <v>166</v>
      </c>
      <c r="G9" s="59">
        <v>1</v>
      </c>
      <c r="H9" s="59">
        <v>110</v>
      </c>
      <c r="I9" s="59" t="s">
        <v>142</v>
      </c>
      <c r="J9" s="61">
        <v>179200</v>
      </c>
      <c r="K9" s="61">
        <f t="shared" si="0"/>
        <v>179200</v>
      </c>
      <c r="L9" s="61"/>
      <c r="M9" s="61">
        <f t="shared" si="4"/>
        <v>66304</v>
      </c>
      <c r="N9" s="73">
        <f t="shared" si="1"/>
        <v>110</v>
      </c>
      <c r="O9" s="56"/>
      <c r="P9" s="125">
        <f>SUM(N3:N9)</f>
        <v>2294</v>
      </c>
      <c r="R9" s="92" t="s">
        <v>15</v>
      </c>
      <c r="S9" s="209">
        <v>1</v>
      </c>
      <c r="T9" s="209">
        <v>110</v>
      </c>
      <c r="U9" s="209" t="s">
        <v>142</v>
      </c>
      <c r="V9" s="89">
        <v>110</v>
      </c>
      <c r="W9" s="143">
        <v>179200</v>
      </c>
      <c r="X9" s="212">
        <f t="shared" si="5"/>
        <v>1629.090909090909</v>
      </c>
      <c r="Y9" s="213">
        <f t="shared" si="6"/>
        <v>179200</v>
      </c>
      <c r="Z9" s="13"/>
      <c r="AA9" s="13"/>
    </row>
    <row r="10" spans="2:28" x14ac:dyDescent="0.25">
      <c r="F10" s="75" t="s">
        <v>30</v>
      </c>
      <c r="G10" s="76">
        <v>12</v>
      </c>
      <c r="H10" s="77">
        <v>82</v>
      </c>
      <c r="I10" s="84"/>
      <c r="J10" s="72"/>
      <c r="K10" s="72"/>
      <c r="L10" s="72"/>
      <c r="M10" s="72"/>
      <c r="N10" s="73">
        <f>SUM(G10*H10)</f>
        <v>984</v>
      </c>
      <c r="O10" s="56"/>
      <c r="P10" s="56"/>
      <c r="R10" s="75" t="s">
        <v>30</v>
      </c>
      <c r="S10" s="76">
        <v>12</v>
      </c>
      <c r="T10" s="77">
        <v>82</v>
      </c>
      <c r="U10" s="209" t="s">
        <v>228</v>
      </c>
      <c r="V10" s="169">
        <v>88</v>
      </c>
      <c r="W10" s="189">
        <v>143900</v>
      </c>
      <c r="X10" s="212">
        <f t="shared" si="5"/>
        <v>1635.2272727272727</v>
      </c>
      <c r="Y10" s="213">
        <f t="shared" si="6"/>
        <v>1609063.6363636365</v>
      </c>
      <c r="Z10" s="169"/>
      <c r="AA10" s="169"/>
    </row>
    <row r="11" spans="2:28" x14ac:dyDescent="0.25">
      <c r="F11" s="75" t="s">
        <v>31</v>
      </c>
      <c r="G11" s="76">
        <v>12</v>
      </c>
      <c r="H11" s="77">
        <v>110</v>
      </c>
      <c r="I11" s="84"/>
      <c r="J11" s="72"/>
      <c r="K11" s="72"/>
      <c r="L11" s="72"/>
      <c r="M11" s="72"/>
      <c r="N11" s="73">
        <f>SUM(G11*H11)</f>
        <v>1320</v>
      </c>
      <c r="O11" s="56"/>
      <c r="P11" s="56"/>
      <c r="R11" s="75" t="s">
        <v>31</v>
      </c>
      <c r="S11" s="76">
        <v>12</v>
      </c>
      <c r="T11" s="77">
        <v>110</v>
      </c>
      <c r="U11" s="209" t="s">
        <v>142</v>
      </c>
      <c r="V11" s="89">
        <v>110</v>
      </c>
      <c r="W11" s="143">
        <v>179200</v>
      </c>
      <c r="X11" s="212">
        <f t="shared" si="5"/>
        <v>1629.090909090909</v>
      </c>
      <c r="Y11" s="213">
        <f t="shared" si="6"/>
        <v>2150400</v>
      </c>
      <c r="Z11" s="169"/>
      <c r="AA11" s="169"/>
    </row>
    <row r="12" spans="2:28" x14ac:dyDescent="0.25">
      <c r="F12" s="75" t="s">
        <v>26</v>
      </c>
      <c r="G12" s="76">
        <v>35</v>
      </c>
      <c r="H12" s="77">
        <v>94</v>
      </c>
      <c r="I12" s="84"/>
      <c r="J12" s="72"/>
      <c r="K12" s="72"/>
      <c r="L12" s="72"/>
      <c r="M12" s="72"/>
      <c r="N12" s="73">
        <f>SUM(G12*H12)</f>
        <v>3290</v>
      </c>
      <c r="O12" s="56"/>
      <c r="P12" s="56"/>
      <c r="R12" s="75" t="s">
        <v>26</v>
      </c>
      <c r="S12" s="76">
        <v>35</v>
      </c>
      <c r="T12" s="77">
        <v>94</v>
      </c>
      <c r="U12" s="209" t="s">
        <v>141</v>
      </c>
      <c r="V12" s="89">
        <v>94</v>
      </c>
      <c r="W12" s="143">
        <v>153600</v>
      </c>
      <c r="X12" s="212">
        <f t="shared" si="5"/>
        <v>1634.0425531914893</v>
      </c>
      <c r="Y12" s="213">
        <f t="shared" si="6"/>
        <v>5376000</v>
      </c>
      <c r="Z12" s="169"/>
      <c r="AA12" s="169"/>
    </row>
    <row r="13" spans="2:28" x14ac:dyDescent="0.25">
      <c r="F13" s="75" t="s">
        <v>27</v>
      </c>
      <c r="G13" s="76">
        <v>35</v>
      </c>
      <c r="H13" s="77">
        <v>120</v>
      </c>
      <c r="I13" s="84"/>
      <c r="J13" s="72"/>
      <c r="K13" s="72"/>
      <c r="L13" s="72"/>
      <c r="M13" s="72"/>
      <c r="N13" s="73">
        <f>SUM(G13*H13)</f>
        <v>4200</v>
      </c>
      <c r="O13" s="56"/>
      <c r="P13" s="56"/>
      <c r="R13" s="75" t="s">
        <v>27</v>
      </c>
      <c r="S13" s="76">
        <v>35</v>
      </c>
      <c r="T13" s="77">
        <v>120</v>
      </c>
      <c r="U13" s="169" t="s">
        <v>277</v>
      </c>
      <c r="V13" s="169">
        <v>114</v>
      </c>
      <c r="W13" s="189">
        <v>191300</v>
      </c>
      <c r="X13" s="212">
        <f t="shared" si="5"/>
        <v>1678.0701754385964</v>
      </c>
      <c r="Y13" s="213">
        <f t="shared" si="6"/>
        <v>7047894.7368421052</v>
      </c>
      <c r="Z13" s="169"/>
      <c r="AA13" s="169"/>
    </row>
    <row r="14" spans="2:28" x14ac:dyDescent="0.25">
      <c r="F14" s="75" t="s">
        <v>28</v>
      </c>
      <c r="G14" s="76">
        <v>8</v>
      </c>
      <c r="H14" s="77">
        <v>135</v>
      </c>
      <c r="I14" s="84"/>
      <c r="J14" s="72"/>
      <c r="K14" s="72"/>
      <c r="L14" s="72"/>
      <c r="M14" s="72"/>
      <c r="N14" s="73">
        <f>SUM(G14*H14)</f>
        <v>1080</v>
      </c>
      <c r="O14" s="56"/>
      <c r="P14" s="56"/>
      <c r="R14" s="75" t="s">
        <v>28</v>
      </c>
      <c r="S14" s="76">
        <v>8</v>
      </c>
      <c r="T14" s="77">
        <v>135</v>
      </c>
      <c r="U14" s="169" t="s">
        <v>277</v>
      </c>
      <c r="V14" s="169">
        <v>114</v>
      </c>
      <c r="W14" s="189">
        <v>191300</v>
      </c>
      <c r="X14" s="212">
        <f t="shared" si="5"/>
        <v>1678.0701754385964</v>
      </c>
      <c r="Y14" s="213">
        <f t="shared" si="6"/>
        <v>1812315.789473684</v>
      </c>
      <c r="Z14" s="169"/>
      <c r="AA14" s="169"/>
    </row>
    <row r="15" spans="2:28" x14ac:dyDescent="0.25">
      <c r="F15" s="78" t="s">
        <v>3</v>
      </c>
      <c r="G15" s="17">
        <f>SUM(G3:G14)</f>
        <v>135</v>
      </c>
      <c r="H15" s="79"/>
      <c r="I15" s="85"/>
      <c r="J15" s="82"/>
      <c r="K15" s="72"/>
      <c r="L15" s="55">
        <f>SUM(L3:L4)</f>
        <v>402800</v>
      </c>
      <c r="M15" s="98">
        <f>SUM(M5:M9)</f>
        <v>1222110</v>
      </c>
      <c r="N15" s="129">
        <f>SUM(N3:N14)</f>
        <v>13168</v>
      </c>
      <c r="O15" s="11">
        <f>SUM(N10:N14)</f>
        <v>10874</v>
      </c>
      <c r="P15" s="56"/>
      <c r="R15" s="188" t="s">
        <v>3</v>
      </c>
      <c r="S15" s="211">
        <f>SUM(S3:S14)</f>
        <v>135</v>
      </c>
      <c r="T15" s="147"/>
      <c r="U15"/>
      <c r="V15"/>
      <c r="W15"/>
      <c r="X15" s="21" t="s">
        <v>3</v>
      </c>
      <c r="Y15" s="195">
        <f>SUM(Y3:Y14)</f>
        <v>21997745.520839334</v>
      </c>
      <c r="Z15" s="195">
        <f>SUM(Y15*0.25)</f>
        <v>5499436.3802098334</v>
      </c>
      <c r="AA15" s="196">
        <f>SUM(Z15*0.604)</f>
        <v>3321659.5736467391</v>
      </c>
    </row>
    <row r="16" spans="2:28" ht="15.75" x14ac:dyDescent="0.25">
      <c r="F16" s="71"/>
      <c r="G16" s="71"/>
      <c r="H16" s="71"/>
      <c r="I16" s="71"/>
      <c r="J16" s="71"/>
      <c r="K16" s="285" t="s">
        <v>177</v>
      </c>
      <c r="L16" s="286"/>
      <c r="M16" s="65">
        <f>SUM(L15:M15)</f>
        <v>1624910</v>
      </c>
      <c r="N16" s="56"/>
      <c r="O16" s="56"/>
      <c r="P16" s="56"/>
      <c r="R16"/>
      <c r="S16"/>
      <c r="T16"/>
      <c r="U16"/>
      <c r="V16"/>
      <c r="W16"/>
      <c r="X16"/>
      <c r="Y16" s="207" t="s">
        <v>280</v>
      </c>
      <c r="Z16" s="208"/>
      <c r="AA16" s="197">
        <f>SUM(AA15/(S15*0.25))</f>
        <v>98419.542922866342</v>
      </c>
    </row>
    <row r="17" spans="6:27" ht="15.75" x14ac:dyDescent="0.25">
      <c r="F17" s="105" t="s">
        <v>211</v>
      </c>
      <c r="G17" s="106">
        <f>SUM(14*879)</f>
        <v>12306</v>
      </c>
      <c r="H17" s="99"/>
      <c r="K17" s="292" t="s">
        <v>178</v>
      </c>
      <c r="L17" s="293"/>
      <c r="M17" s="65">
        <f>SUM(AA16*0.75)</f>
        <v>73814.657192149753</v>
      </c>
      <c r="N17" s="110" t="s">
        <v>179</v>
      </c>
      <c r="R17" s="99"/>
      <c r="S17" s="99"/>
      <c r="T17" s="99"/>
      <c r="U17" s="99"/>
      <c r="V17" s="99"/>
      <c r="W17" s="99"/>
    </row>
    <row r="18" spans="6:27" ht="15.75" customHeight="1" x14ac:dyDescent="0.25">
      <c r="F18" s="105" t="s">
        <v>212</v>
      </c>
      <c r="G18" s="106">
        <f>SUM(121*3075)</f>
        <v>372075</v>
      </c>
      <c r="H18" s="99"/>
      <c r="R18" s="99"/>
      <c r="S18" s="181"/>
      <c r="T18" s="190"/>
      <c r="U18" s="190"/>
      <c r="V18" s="190"/>
      <c r="W18" s="190"/>
    </row>
    <row r="19" spans="6:27" ht="15.75" customHeight="1" x14ac:dyDescent="0.25">
      <c r="F19" s="107" t="s">
        <v>3</v>
      </c>
      <c r="G19" s="108">
        <f>SUM(G17:G18)</f>
        <v>384381</v>
      </c>
      <c r="H19" s="99" t="s">
        <v>180</v>
      </c>
      <c r="I19" s="99"/>
      <c r="J19" s="99"/>
      <c r="K19" s="99"/>
      <c r="L19" s="99"/>
      <c r="M19" s="99"/>
      <c r="N19" s="99"/>
      <c r="O19" s="99"/>
      <c r="R19" s="99"/>
      <c r="S19" s="181"/>
      <c r="T19" s="190"/>
      <c r="U19" s="190"/>
      <c r="V19" s="190"/>
      <c r="W19" s="190"/>
    </row>
    <row r="20" spans="6:27" ht="15.75" customHeight="1" x14ac:dyDescent="0.25">
      <c r="G20" s="74"/>
      <c r="R20" s="99"/>
      <c r="S20" s="181"/>
      <c r="T20" s="190"/>
      <c r="U20" s="190"/>
      <c r="V20" s="190"/>
      <c r="W20" s="190"/>
      <c r="X20" s="99"/>
      <c r="Y20" s="99"/>
      <c r="Z20" s="99"/>
      <c r="AA20" s="99"/>
    </row>
    <row r="21" spans="6:27" x14ac:dyDescent="0.25">
      <c r="F21" s="16" t="s">
        <v>56</v>
      </c>
      <c r="G21" s="49" t="s">
        <v>57</v>
      </c>
      <c r="M21" s="40"/>
      <c r="R21" s="99"/>
      <c r="S21" s="181"/>
      <c r="T21" s="190"/>
      <c r="U21" s="190"/>
      <c r="V21" s="190"/>
      <c r="W21" s="190"/>
    </row>
    <row r="22" spans="6:27" x14ac:dyDescent="0.25">
      <c r="F22" s="205" t="s">
        <v>211</v>
      </c>
      <c r="G22" s="206">
        <f>SUM(14*879)</f>
        <v>12306</v>
      </c>
      <c r="I22" s="30">
        <f>SUM(G22:G23)</f>
        <v>384381</v>
      </c>
      <c r="J22" s="35" t="s">
        <v>135</v>
      </c>
      <c r="M22" s="40"/>
      <c r="R22" s="99"/>
      <c r="S22" s="181"/>
      <c r="T22" s="190"/>
      <c r="U22" s="190"/>
      <c r="V22" s="190"/>
      <c r="W22" s="190"/>
    </row>
    <row r="23" spans="6:27" x14ac:dyDescent="0.25">
      <c r="F23" s="205" t="s">
        <v>212</v>
      </c>
      <c r="G23" s="206">
        <f>SUM(121*3075)</f>
        <v>372075</v>
      </c>
      <c r="M23" s="40"/>
      <c r="R23" s="99"/>
      <c r="S23" s="181"/>
      <c r="T23" s="190"/>
      <c r="U23" s="190"/>
      <c r="V23" s="190"/>
      <c r="W23" s="190"/>
    </row>
    <row r="24" spans="6:27" x14ac:dyDescent="0.25">
      <c r="F24" s="35" t="s">
        <v>103</v>
      </c>
      <c r="G24" s="36">
        <v>10000</v>
      </c>
      <c r="R24" s="99"/>
      <c r="S24" s="181"/>
      <c r="T24" s="190"/>
      <c r="U24" s="190"/>
      <c r="V24" s="190"/>
      <c r="W24" s="190"/>
    </row>
    <row r="25" spans="6:27" x14ac:dyDescent="0.25">
      <c r="F25" s="35" t="s">
        <v>105</v>
      </c>
      <c r="G25" s="36">
        <v>675000</v>
      </c>
      <c r="R25" s="99"/>
      <c r="S25" s="181"/>
      <c r="T25" s="190"/>
      <c r="U25" s="190"/>
      <c r="V25" s="190"/>
      <c r="W25" s="190"/>
    </row>
    <row r="26" spans="6:27" x14ac:dyDescent="0.25">
      <c r="F26" s="35" t="s">
        <v>104</v>
      </c>
      <c r="G26" s="36">
        <v>100000</v>
      </c>
      <c r="R26" s="99"/>
      <c r="S26" s="181"/>
      <c r="T26" s="190"/>
      <c r="U26" s="190"/>
      <c r="V26" s="190"/>
      <c r="W26" s="190"/>
    </row>
    <row r="27" spans="6:27" ht="17.25" x14ac:dyDescent="0.25">
      <c r="F27" s="22" t="s">
        <v>3</v>
      </c>
      <c r="G27" s="30">
        <f>SUM(G23:G26)</f>
        <v>1157075</v>
      </c>
      <c r="I27" s="53"/>
      <c r="M27" s="49" t="s">
        <v>56</v>
      </c>
      <c r="N27" s="116">
        <f>SUM((G27-I22)/N15)</f>
        <v>58.679678007290399</v>
      </c>
      <c r="O27" s="35" t="s">
        <v>258</v>
      </c>
      <c r="R27" s="99"/>
      <c r="S27" s="181"/>
      <c r="T27" s="190"/>
      <c r="U27" s="190"/>
      <c r="V27" s="190"/>
      <c r="W27" s="190"/>
    </row>
    <row r="28" spans="6:27" ht="14.25" customHeight="1" x14ac:dyDescent="0.25">
      <c r="M28" s="21" t="s">
        <v>56</v>
      </c>
      <c r="N28" s="54">
        <v>0</v>
      </c>
      <c r="O28" t="s">
        <v>350</v>
      </c>
      <c r="P28"/>
      <c r="R28" s="99"/>
      <c r="S28" s="181"/>
      <c r="T28" s="190"/>
      <c r="U28" s="190"/>
      <c r="V28" s="190"/>
      <c r="W28" s="190"/>
    </row>
    <row r="29" spans="6:27" ht="15" customHeight="1" x14ac:dyDescent="0.25">
      <c r="F29" s="41" t="s">
        <v>101</v>
      </c>
      <c r="G29" s="42" t="s">
        <v>57</v>
      </c>
      <c r="M29" s="49" t="s">
        <v>56</v>
      </c>
      <c r="N29" s="54">
        <f>SUM(N28/G15)</f>
        <v>0</v>
      </c>
      <c r="O29" s="35" t="s">
        <v>349</v>
      </c>
      <c r="R29" s="99"/>
      <c r="S29" s="181"/>
      <c r="T29" s="190"/>
      <c r="U29" s="190"/>
      <c r="V29" s="190"/>
      <c r="W29" s="190"/>
      <c r="X29" s="102"/>
      <c r="Y29" s="101"/>
      <c r="Z29" s="99"/>
      <c r="AA29" s="99"/>
    </row>
    <row r="30" spans="6:27" ht="15" customHeight="1" x14ac:dyDescent="0.25">
      <c r="F30" s="35" t="s">
        <v>343</v>
      </c>
      <c r="G30" s="48" t="s">
        <v>91</v>
      </c>
      <c r="M30" s="49"/>
      <c r="R30" s="99"/>
      <c r="S30" s="181"/>
      <c r="T30" s="190"/>
      <c r="U30" s="190"/>
      <c r="V30" s="190"/>
      <c r="W30" s="190"/>
    </row>
    <row r="31" spans="6:27" x14ac:dyDescent="0.25">
      <c r="F31" s="35" t="s">
        <v>106</v>
      </c>
      <c r="G31" s="48" t="s">
        <v>91</v>
      </c>
      <c r="L31" s="99"/>
      <c r="M31" s="99"/>
      <c r="N31" s="99"/>
      <c r="O31" s="99"/>
      <c r="P31" s="99"/>
      <c r="Q31" s="99"/>
      <c r="R31" s="99"/>
      <c r="S31" s="181"/>
      <c r="T31" s="190"/>
      <c r="U31" s="190"/>
      <c r="V31" s="190"/>
      <c r="W31" s="190"/>
    </row>
    <row r="32" spans="6:27" x14ac:dyDescent="0.25">
      <c r="L32" s="99"/>
      <c r="M32" s="99"/>
      <c r="N32" s="99"/>
      <c r="O32" s="99"/>
      <c r="P32" s="99"/>
      <c r="Q32" s="99"/>
      <c r="R32" s="99"/>
      <c r="S32" s="181"/>
      <c r="T32" s="190"/>
      <c r="U32" s="190"/>
      <c r="V32" s="190"/>
      <c r="W32" s="190"/>
    </row>
    <row r="33" spans="6:17" x14ac:dyDescent="0.25">
      <c r="F33" s="16" t="s">
        <v>72</v>
      </c>
      <c r="G33" s="49" t="s">
        <v>57</v>
      </c>
      <c r="L33" s="99"/>
      <c r="M33" s="99"/>
      <c r="N33" s="99"/>
      <c r="O33" s="200"/>
      <c r="P33" s="99"/>
      <c r="Q33" s="99"/>
    </row>
    <row r="34" spans="6:17" x14ac:dyDescent="0.25">
      <c r="F34" t="s">
        <v>218</v>
      </c>
      <c r="G34" s="40">
        <f>G15*224</f>
        <v>30240</v>
      </c>
      <c r="I34" s="30">
        <f>SUM(G34:G36)</f>
        <v>252180</v>
      </c>
      <c r="J34" s="35" t="s">
        <v>139</v>
      </c>
      <c r="L34" s="99"/>
      <c r="M34" s="99"/>
      <c r="N34" s="99"/>
      <c r="O34" s="200"/>
      <c r="P34" s="99"/>
      <c r="Q34" s="99"/>
    </row>
    <row r="35" spans="6:17" x14ac:dyDescent="0.25">
      <c r="F35" t="s">
        <v>216</v>
      </c>
      <c r="G35" s="40">
        <f>G15*508</f>
        <v>68580</v>
      </c>
      <c r="L35" s="99"/>
      <c r="M35" s="99"/>
      <c r="N35" s="99"/>
      <c r="O35" s="99"/>
      <c r="P35" s="99"/>
      <c r="Q35" s="99"/>
    </row>
    <row r="36" spans="6:17" x14ac:dyDescent="0.25">
      <c r="F36" t="s">
        <v>217</v>
      </c>
      <c r="G36" s="40">
        <f>G15*1136</f>
        <v>153360</v>
      </c>
      <c r="L36" s="99"/>
      <c r="M36" s="99"/>
      <c r="N36" s="99"/>
      <c r="O36" s="201"/>
      <c r="P36" s="202"/>
      <c r="Q36" s="99"/>
    </row>
    <row r="37" spans="6:17" x14ac:dyDescent="0.25">
      <c r="F37" s="22" t="s">
        <v>3</v>
      </c>
      <c r="G37" s="30">
        <f>SUM(G34:G36)</f>
        <v>252180</v>
      </c>
      <c r="I37" s="30">
        <f>SUM(G37/G15)</f>
        <v>1868</v>
      </c>
      <c r="J37" s="35" t="s">
        <v>219</v>
      </c>
      <c r="L37" s="99"/>
      <c r="M37" s="99"/>
      <c r="N37" s="99"/>
      <c r="O37" s="99"/>
      <c r="P37" s="99"/>
      <c r="Q37" s="99"/>
    </row>
    <row r="38" spans="6:17" x14ac:dyDescent="0.25">
      <c r="L38" s="99"/>
      <c r="M38" s="99"/>
      <c r="N38" s="99"/>
      <c r="O38" s="200"/>
      <c r="P38" s="99"/>
      <c r="Q38" s="99"/>
    </row>
    <row r="39" spans="6:17" x14ac:dyDescent="0.25">
      <c r="F39" s="16"/>
      <c r="G39" s="49"/>
      <c r="L39" s="99"/>
      <c r="M39" s="99"/>
      <c r="N39" s="99"/>
      <c r="O39" s="200"/>
      <c r="P39" s="99"/>
      <c r="Q39" s="99"/>
    </row>
    <row r="40" spans="6:17" x14ac:dyDescent="0.25">
      <c r="F40"/>
      <c r="G40" s="40"/>
      <c r="I40" s="139"/>
      <c r="J40" s="50"/>
      <c r="L40" s="99"/>
      <c r="M40" s="99"/>
      <c r="N40" s="99"/>
      <c r="O40" s="99"/>
      <c r="P40" s="99"/>
      <c r="Q40" s="99"/>
    </row>
    <row r="41" spans="6:17" x14ac:dyDescent="0.25">
      <c r="F41"/>
      <c r="G41" s="40"/>
      <c r="L41" s="99"/>
      <c r="M41" s="99"/>
      <c r="N41" s="99"/>
      <c r="O41" s="203"/>
      <c r="P41" s="204"/>
      <c r="Q41" s="99"/>
    </row>
    <row r="42" spans="6:17" x14ac:dyDescent="0.25">
      <c r="F42"/>
      <c r="G42" s="40"/>
      <c r="L42" s="99"/>
      <c r="M42" s="99"/>
      <c r="N42" s="99"/>
      <c r="O42" s="203"/>
      <c r="P42" s="204"/>
      <c r="Q42" s="99"/>
    </row>
    <row r="43" spans="6:17" x14ac:dyDescent="0.25">
      <c r="G43" s="28"/>
      <c r="L43" s="99"/>
      <c r="M43" s="99"/>
      <c r="N43" s="99"/>
      <c r="O43" s="99"/>
      <c r="P43" s="99"/>
      <c r="Q43" s="99"/>
    </row>
    <row r="44" spans="6:17" x14ac:dyDescent="0.25">
      <c r="F44" s="22"/>
      <c r="G44" s="30"/>
    </row>
    <row r="49" spans="22:25" x14ac:dyDescent="0.25">
      <c r="V49" s="132"/>
      <c r="W49" s="99"/>
      <c r="X49" s="99"/>
      <c r="Y49" s="99"/>
    </row>
    <row r="50" spans="22:25" x14ac:dyDescent="0.25">
      <c r="V50" s="132"/>
      <c r="W50" s="99"/>
      <c r="X50" s="99"/>
      <c r="Y50" s="99"/>
    </row>
    <row r="51" spans="22:25" x14ac:dyDescent="0.25">
      <c r="V51" s="132"/>
      <c r="W51" s="99"/>
      <c r="X51" s="99"/>
      <c r="Y51" s="99"/>
    </row>
    <row r="52" spans="22:25" x14ac:dyDescent="0.25">
      <c r="V52" s="132"/>
      <c r="W52" s="99"/>
      <c r="X52" s="99"/>
      <c r="Y52" s="99"/>
    </row>
    <row r="53" spans="22:25" x14ac:dyDescent="0.25">
      <c r="V53" s="132"/>
      <c r="W53" s="99"/>
      <c r="X53" s="99"/>
      <c r="Y53" s="99"/>
    </row>
    <row r="54" spans="22:25" x14ac:dyDescent="0.25">
      <c r="V54" s="99"/>
      <c r="W54" s="99"/>
      <c r="X54" s="99"/>
      <c r="Y54" s="99"/>
    </row>
    <row r="55" spans="22:25" x14ac:dyDescent="0.25">
      <c r="V55" s="99"/>
      <c r="W55" s="99"/>
      <c r="X55" s="99"/>
      <c r="Y55" s="99"/>
    </row>
  </sheetData>
  <sheetProtection selectLockedCells="1"/>
  <mergeCells count="2">
    <mergeCell ref="K16:L16"/>
    <mergeCell ref="K17:L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topLeftCell="C7" workbookViewId="0">
      <selection activeCell="P38" sqref="P38"/>
    </sheetView>
  </sheetViews>
  <sheetFormatPr defaultRowHeight="15" x14ac:dyDescent="0.25"/>
  <cols>
    <col min="1" max="1" width="4.42578125" customWidth="1"/>
    <col min="2" max="2" width="27.28515625" bestFit="1" customWidth="1"/>
    <col min="3" max="3" width="6.5703125" bestFit="1" customWidth="1"/>
    <col min="4" max="4" width="7" bestFit="1" customWidth="1"/>
    <col min="5" max="5" width="5.42578125" customWidth="1"/>
    <col min="6" max="6" width="41.42578125" bestFit="1" customWidth="1"/>
    <col min="7" max="7" width="11.140625" bestFit="1" customWidth="1"/>
    <col min="8" max="8" width="5.140625" bestFit="1" customWidth="1"/>
    <col min="9" max="9" width="10.140625" customWidth="1"/>
    <col min="10" max="10" width="10.7109375" customWidth="1"/>
    <col min="11" max="11" width="12.140625" bestFit="1" customWidth="1"/>
    <col min="12" max="12" width="10.7109375" customWidth="1"/>
    <col min="13" max="13" width="12.7109375" customWidth="1"/>
    <col min="14" max="14" width="8.5703125" bestFit="1" customWidth="1"/>
    <col min="15" max="15" width="16" bestFit="1" customWidth="1"/>
    <col min="16" max="16" width="11.140625" bestFit="1" customWidth="1"/>
    <col min="17" max="17" width="6" style="29" customWidth="1"/>
  </cols>
  <sheetData>
    <row r="1" spans="2:17" x14ac:dyDescent="0.25">
      <c r="C1" s="135" t="s">
        <v>263</v>
      </c>
      <c r="D1" s="168" t="s">
        <v>264</v>
      </c>
      <c r="F1" s="16" t="s">
        <v>254</v>
      </c>
    </row>
    <row r="2" spans="2:17" ht="30" customHeight="1" x14ac:dyDescent="0.25">
      <c r="B2" t="s">
        <v>285</v>
      </c>
      <c r="C2" s="29">
        <f>1700*0.25</f>
        <v>425</v>
      </c>
      <c r="F2" s="2" t="s">
        <v>0</v>
      </c>
      <c r="G2" s="2" t="s">
        <v>53</v>
      </c>
      <c r="H2" s="2" t="s">
        <v>161</v>
      </c>
      <c r="I2" s="2" t="s">
        <v>174</v>
      </c>
      <c r="J2" s="2" t="s">
        <v>150</v>
      </c>
      <c r="K2" s="2" t="s">
        <v>159</v>
      </c>
      <c r="L2" s="2" t="s">
        <v>146</v>
      </c>
      <c r="M2" s="2" t="s">
        <v>148</v>
      </c>
      <c r="N2" s="9" t="s">
        <v>32</v>
      </c>
      <c r="O2" s="9" t="s">
        <v>160</v>
      </c>
      <c r="P2" s="9" t="s">
        <v>192</v>
      </c>
      <c r="Q2" s="218"/>
    </row>
    <row r="3" spans="2:17" x14ac:dyDescent="0.25">
      <c r="B3" t="s">
        <v>202</v>
      </c>
      <c r="C3" s="29">
        <f>425*0.8</f>
        <v>340</v>
      </c>
      <c r="D3" s="16">
        <f>C3</f>
        <v>340</v>
      </c>
      <c r="F3" s="58" t="s">
        <v>151</v>
      </c>
      <c r="G3" s="59">
        <v>50</v>
      </c>
      <c r="H3" s="59">
        <v>67</v>
      </c>
      <c r="I3" s="59"/>
      <c r="J3" s="60">
        <f>SUM(H3*2200)</f>
        <v>147400</v>
      </c>
      <c r="K3" s="61">
        <f t="shared" ref="K3:K19" si="0">SUM(J3*G3)</f>
        <v>7370000</v>
      </c>
      <c r="L3" s="67">
        <f t="shared" ref="L3:L4" si="1">SUM(K3*0.5)</f>
        <v>3685000</v>
      </c>
      <c r="M3" s="59"/>
      <c r="N3" s="10">
        <f t="shared" ref="N3:N19" si="2">SUM(G3*H3)</f>
        <v>3350</v>
      </c>
      <c r="O3" s="7"/>
      <c r="P3" s="7"/>
      <c r="Q3" s="219"/>
    </row>
    <row r="4" spans="2:17" x14ac:dyDescent="0.25">
      <c r="B4" t="s">
        <v>203</v>
      </c>
      <c r="C4" s="29">
        <f>425*0.2</f>
        <v>85</v>
      </c>
      <c r="D4" s="16">
        <f>C4</f>
        <v>85</v>
      </c>
      <c r="F4" s="58" t="s">
        <v>152</v>
      </c>
      <c r="G4" s="59">
        <v>35</v>
      </c>
      <c r="H4" s="59">
        <v>78</v>
      </c>
      <c r="I4" s="59"/>
      <c r="J4" s="60">
        <f>SUM(H4*2200)</f>
        <v>171600</v>
      </c>
      <c r="K4" s="61">
        <f t="shared" si="0"/>
        <v>6006000</v>
      </c>
      <c r="L4" s="67">
        <f t="shared" si="1"/>
        <v>3003000</v>
      </c>
      <c r="M4" s="59"/>
      <c r="N4" s="10">
        <f t="shared" si="2"/>
        <v>2730</v>
      </c>
      <c r="O4" s="7"/>
      <c r="P4" s="7"/>
      <c r="Q4" s="219"/>
    </row>
    <row r="5" spans="2:17" x14ac:dyDescent="0.25">
      <c r="B5" s="147" t="s">
        <v>322</v>
      </c>
      <c r="C5">
        <f>SUM(1700-C2)</f>
        <v>1275</v>
      </c>
      <c r="D5" s="16">
        <f>C5</f>
        <v>1275</v>
      </c>
      <c r="F5" s="58" t="s">
        <v>153</v>
      </c>
      <c r="G5" s="59">
        <v>11</v>
      </c>
      <c r="H5" s="59">
        <v>45</v>
      </c>
      <c r="I5" s="59" t="s">
        <v>158</v>
      </c>
      <c r="J5" s="60">
        <f>SUM(J6*(H5/H6))</f>
        <v>109163.79310344828</v>
      </c>
      <c r="K5" s="61">
        <f t="shared" si="0"/>
        <v>1200801.7241379311</v>
      </c>
      <c r="L5" s="61"/>
      <c r="M5" s="62">
        <f>SUM(K5*0.37)</f>
        <v>444296.63793103449</v>
      </c>
      <c r="N5" s="10">
        <f t="shared" si="2"/>
        <v>495</v>
      </c>
      <c r="O5" s="7"/>
      <c r="P5" s="7"/>
      <c r="Q5" s="219"/>
    </row>
    <row r="6" spans="2:17" x14ac:dyDescent="0.25">
      <c r="F6" s="58" t="s">
        <v>154</v>
      </c>
      <c r="G6" s="59">
        <v>11</v>
      </c>
      <c r="H6" s="59">
        <v>58</v>
      </c>
      <c r="I6" s="59" t="s">
        <v>157</v>
      </c>
      <c r="J6" s="60">
        <v>140700</v>
      </c>
      <c r="K6" s="61">
        <f t="shared" si="0"/>
        <v>1547700</v>
      </c>
      <c r="L6" s="61"/>
      <c r="M6" s="62">
        <f t="shared" ref="M6:M11" si="3">SUM(K6*0.37)</f>
        <v>572649</v>
      </c>
      <c r="N6" s="10">
        <f t="shared" si="2"/>
        <v>638</v>
      </c>
      <c r="O6" s="7"/>
      <c r="P6" s="7"/>
      <c r="Q6" s="219"/>
    </row>
    <row r="7" spans="2:17" x14ac:dyDescent="0.25">
      <c r="F7" s="58" t="s">
        <v>144</v>
      </c>
      <c r="G7" s="59">
        <v>114</v>
      </c>
      <c r="H7" s="59">
        <v>46</v>
      </c>
      <c r="I7" s="59" t="s">
        <v>145</v>
      </c>
      <c r="J7" s="60">
        <v>95800</v>
      </c>
      <c r="K7" s="61">
        <f t="shared" si="0"/>
        <v>10921200</v>
      </c>
      <c r="L7" s="61"/>
      <c r="M7" s="62">
        <f t="shared" si="3"/>
        <v>4040844</v>
      </c>
      <c r="N7" s="10">
        <f t="shared" si="2"/>
        <v>5244</v>
      </c>
      <c r="O7" s="7"/>
      <c r="P7" s="7"/>
      <c r="Q7" s="219"/>
    </row>
    <row r="8" spans="2:17" x14ac:dyDescent="0.25">
      <c r="F8" s="58" t="s">
        <v>149</v>
      </c>
      <c r="G8" s="59">
        <v>34</v>
      </c>
      <c r="H8" s="59">
        <v>59</v>
      </c>
      <c r="I8" s="59" t="s">
        <v>156</v>
      </c>
      <c r="J8" s="60">
        <v>119700</v>
      </c>
      <c r="K8" s="61">
        <f t="shared" si="0"/>
        <v>4069800</v>
      </c>
      <c r="L8" s="61"/>
      <c r="M8" s="62">
        <f t="shared" si="3"/>
        <v>1505826</v>
      </c>
      <c r="N8" s="10">
        <f t="shared" si="2"/>
        <v>2006</v>
      </c>
      <c r="O8" s="7"/>
      <c r="P8" s="56"/>
      <c r="Q8" s="219"/>
    </row>
    <row r="9" spans="2:17" x14ac:dyDescent="0.25">
      <c r="F9" s="58" t="s">
        <v>143</v>
      </c>
      <c r="G9" s="59">
        <v>91</v>
      </c>
      <c r="H9" s="59">
        <v>83</v>
      </c>
      <c r="I9" s="59" t="s">
        <v>140</v>
      </c>
      <c r="J9" s="60">
        <v>147800</v>
      </c>
      <c r="K9" s="61">
        <f t="shared" si="0"/>
        <v>13449800</v>
      </c>
      <c r="L9" s="61"/>
      <c r="M9" s="62">
        <f t="shared" si="3"/>
        <v>4976426</v>
      </c>
      <c r="N9" s="10">
        <f t="shared" si="2"/>
        <v>7553</v>
      </c>
      <c r="O9" s="7"/>
      <c r="P9" s="7"/>
      <c r="Q9" s="219"/>
    </row>
    <row r="10" spans="2:17" x14ac:dyDescent="0.25">
      <c r="F10" s="58" t="s">
        <v>147</v>
      </c>
      <c r="G10" s="59">
        <v>70</v>
      </c>
      <c r="H10" s="59">
        <v>88</v>
      </c>
      <c r="I10" s="59" t="s">
        <v>228</v>
      </c>
      <c r="J10" s="60">
        <v>154200</v>
      </c>
      <c r="K10" s="61">
        <f t="shared" si="0"/>
        <v>10794000</v>
      </c>
      <c r="L10" s="61"/>
      <c r="M10" s="62">
        <f t="shared" si="3"/>
        <v>3993780</v>
      </c>
      <c r="N10" s="10">
        <f t="shared" si="2"/>
        <v>6160</v>
      </c>
      <c r="O10" s="7"/>
      <c r="P10" s="7"/>
      <c r="Q10" s="219"/>
    </row>
    <row r="11" spans="2:17" x14ac:dyDescent="0.25">
      <c r="F11" s="58" t="s">
        <v>155</v>
      </c>
      <c r="G11" s="59">
        <v>9</v>
      </c>
      <c r="H11" s="59">
        <v>110</v>
      </c>
      <c r="I11" s="59" t="s">
        <v>142</v>
      </c>
      <c r="J11" s="60">
        <v>192000</v>
      </c>
      <c r="K11" s="61">
        <f t="shared" si="0"/>
        <v>1728000</v>
      </c>
      <c r="L11" s="61"/>
      <c r="M11" s="62">
        <f t="shared" si="3"/>
        <v>639360</v>
      </c>
      <c r="N11" s="10">
        <f t="shared" si="2"/>
        <v>990</v>
      </c>
      <c r="O11" s="7"/>
      <c r="P11" s="125">
        <f>SUM(N3:N11)</f>
        <v>29166</v>
      </c>
      <c r="Q11" s="219"/>
    </row>
    <row r="12" spans="2:17" x14ac:dyDescent="0.25">
      <c r="F12" s="149" t="s">
        <v>287</v>
      </c>
      <c r="G12" s="150">
        <v>380</v>
      </c>
      <c r="H12" s="89">
        <v>100</v>
      </c>
      <c r="I12" s="151"/>
      <c r="J12" s="215">
        <f>SUM(H12*2200)</f>
        <v>220000</v>
      </c>
      <c r="K12" s="216">
        <f t="shared" si="0"/>
        <v>83600000</v>
      </c>
      <c r="L12" s="151"/>
      <c r="M12" s="151"/>
      <c r="N12" s="152">
        <f t="shared" si="2"/>
        <v>38000</v>
      </c>
      <c r="O12" s="7"/>
      <c r="P12" s="7"/>
      <c r="Q12" s="177"/>
    </row>
    <row r="13" spans="2:17" x14ac:dyDescent="0.25">
      <c r="F13" s="214" t="s">
        <v>288</v>
      </c>
      <c r="G13" s="150">
        <v>27</v>
      </c>
      <c r="H13" s="89">
        <v>78</v>
      </c>
      <c r="I13" s="151"/>
      <c r="J13" s="215">
        <f t="shared" ref="J13:J19" si="4">SUM(H13*2200)</f>
        <v>171600</v>
      </c>
      <c r="K13" s="216">
        <f t="shared" si="0"/>
        <v>4633200</v>
      </c>
      <c r="L13" s="151"/>
      <c r="M13" s="151"/>
      <c r="N13" s="152">
        <f t="shared" si="2"/>
        <v>2106</v>
      </c>
      <c r="O13" s="7"/>
      <c r="P13" s="7"/>
      <c r="Q13" s="177"/>
    </row>
    <row r="14" spans="2:17" x14ac:dyDescent="0.25">
      <c r="F14" s="214" t="s">
        <v>289</v>
      </c>
      <c r="G14" s="150">
        <v>57</v>
      </c>
      <c r="H14" s="89">
        <v>110</v>
      </c>
      <c r="I14" s="151"/>
      <c r="J14" s="215">
        <f t="shared" si="4"/>
        <v>242000</v>
      </c>
      <c r="K14" s="216">
        <f t="shared" si="0"/>
        <v>13794000</v>
      </c>
      <c r="L14" s="151"/>
      <c r="M14" s="151"/>
      <c r="N14" s="152">
        <f t="shared" si="2"/>
        <v>6270</v>
      </c>
      <c r="O14" s="7"/>
      <c r="P14" s="7"/>
      <c r="Q14" s="177"/>
    </row>
    <row r="15" spans="2:17" x14ac:dyDescent="0.25">
      <c r="F15" s="56" t="s">
        <v>30</v>
      </c>
      <c r="G15" s="217">
        <v>198</v>
      </c>
      <c r="H15" s="169">
        <v>82</v>
      </c>
      <c r="I15" s="3"/>
      <c r="J15" s="215">
        <f t="shared" si="4"/>
        <v>180400</v>
      </c>
      <c r="K15" s="216">
        <f t="shared" si="0"/>
        <v>35719200</v>
      </c>
      <c r="L15" s="3"/>
      <c r="M15" s="3"/>
      <c r="N15" s="10">
        <f t="shared" si="2"/>
        <v>16236</v>
      </c>
      <c r="O15" s="7"/>
      <c r="P15" s="7"/>
      <c r="Q15" s="220"/>
    </row>
    <row r="16" spans="2:17" x14ac:dyDescent="0.25">
      <c r="F16" s="56" t="s">
        <v>31</v>
      </c>
      <c r="G16" s="217">
        <v>132</v>
      </c>
      <c r="H16" s="169">
        <v>110</v>
      </c>
      <c r="I16" s="3"/>
      <c r="J16" s="215">
        <f t="shared" si="4"/>
        <v>242000</v>
      </c>
      <c r="K16" s="216">
        <f t="shared" si="0"/>
        <v>31944000</v>
      </c>
      <c r="L16" s="3"/>
      <c r="M16" s="3"/>
      <c r="N16" s="10">
        <f t="shared" si="2"/>
        <v>14520</v>
      </c>
      <c r="O16" s="7"/>
      <c r="P16" s="7"/>
      <c r="Q16" s="220"/>
    </row>
    <row r="17" spans="6:19" x14ac:dyDescent="0.25">
      <c r="F17" s="56" t="s">
        <v>26</v>
      </c>
      <c r="G17" s="217">
        <v>264</v>
      </c>
      <c r="H17" s="169">
        <v>94</v>
      </c>
      <c r="I17" s="3"/>
      <c r="J17" s="215">
        <f t="shared" si="4"/>
        <v>206800</v>
      </c>
      <c r="K17" s="216">
        <f t="shared" si="0"/>
        <v>54595200</v>
      </c>
      <c r="L17" s="3"/>
      <c r="M17" s="3"/>
      <c r="N17" s="10">
        <f t="shared" si="2"/>
        <v>24816</v>
      </c>
      <c r="O17" s="7"/>
      <c r="P17" s="7"/>
      <c r="Q17" s="220"/>
    </row>
    <row r="18" spans="6:19" x14ac:dyDescent="0.25">
      <c r="F18" s="56" t="s">
        <v>27</v>
      </c>
      <c r="G18" s="217">
        <v>198</v>
      </c>
      <c r="H18" s="169">
        <v>120</v>
      </c>
      <c r="I18" s="3"/>
      <c r="J18" s="215">
        <f t="shared" si="4"/>
        <v>264000</v>
      </c>
      <c r="K18" s="216">
        <f t="shared" si="0"/>
        <v>52272000</v>
      </c>
      <c r="L18" s="3"/>
      <c r="M18" s="3"/>
      <c r="N18" s="10">
        <f t="shared" si="2"/>
        <v>23760</v>
      </c>
      <c r="O18" s="7"/>
      <c r="P18" s="7"/>
      <c r="Q18" s="220"/>
    </row>
    <row r="19" spans="6:19" x14ac:dyDescent="0.25">
      <c r="F19" s="56" t="s">
        <v>28</v>
      </c>
      <c r="G19" s="217">
        <v>19</v>
      </c>
      <c r="H19" s="169">
        <v>135</v>
      </c>
      <c r="I19" s="3"/>
      <c r="J19" s="215">
        <f t="shared" si="4"/>
        <v>297000</v>
      </c>
      <c r="K19" s="216">
        <f t="shared" si="0"/>
        <v>5643000</v>
      </c>
      <c r="L19" s="3"/>
      <c r="M19" s="3"/>
      <c r="N19" s="10">
        <f t="shared" si="2"/>
        <v>2565</v>
      </c>
      <c r="O19" s="7"/>
      <c r="P19" s="7"/>
      <c r="Q19" s="220"/>
    </row>
    <row r="20" spans="6:19" x14ac:dyDescent="0.25">
      <c r="F20" s="6" t="s">
        <v>3</v>
      </c>
      <c r="G20" s="66">
        <f>SUM(G3:G19)</f>
        <v>1700</v>
      </c>
      <c r="H20" s="3"/>
      <c r="I20" s="7"/>
      <c r="J20" s="144"/>
      <c r="K20" s="228">
        <f>SUM(K3:K19)</f>
        <v>339287901.7241379</v>
      </c>
      <c r="L20" s="55">
        <f>SUM(L3:L4)</f>
        <v>6688000</v>
      </c>
      <c r="M20" s="98">
        <f>SUM(M5:M11)</f>
        <v>16173181.637931034</v>
      </c>
      <c r="N20" s="129">
        <f>SUM(N3:N19)</f>
        <v>157439</v>
      </c>
      <c r="O20" s="153">
        <f>SUM(N12:N19)</f>
        <v>128273</v>
      </c>
      <c r="P20" s="7"/>
      <c r="Q20" s="221"/>
    </row>
    <row r="21" spans="6:19" ht="15.75" x14ac:dyDescent="0.25">
      <c r="F21" s="105" t="s">
        <v>290</v>
      </c>
      <c r="G21" s="106">
        <f>SUM(528*879)</f>
        <v>464112</v>
      </c>
      <c r="H21" s="99"/>
      <c r="I21" s="3"/>
      <c r="J21" s="3"/>
      <c r="K21" s="35"/>
      <c r="L21" s="68" t="s">
        <v>8</v>
      </c>
      <c r="M21" s="65">
        <f>SUM(L20:M20)</f>
        <v>22861181.637931034</v>
      </c>
      <c r="N21" s="133"/>
      <c r="O21" s="133"/>
      <c r="P21" s="133"/>
      <c r="Q21" s="218"/>
    </row>
    <row r="22" spans="6:19" x14ac:dyDescent="0.25">
      <c r="F22" s="105" t="s">
        <v>291</v>
      </c>
      <c r="G22" s="106">
        <f>SUM(1172*3075)</f>
        <v>3603900</v>
      </c>
      <c r="H22" s="99"/>
      <c r="I22" s="35"/>
      <c r="J22" s="35"/>
      <c r="L22" s="35"/>
      <c r="M22" s="35"/>
      <c r="N22" s="99"/>
      <c r="O22" s="99"/>
      <c r="P22" s="133"/>
      <c r="Q22" s="218"/>
    </row>
    <row r="23" spans="6:19" x14ac:dyDescent="0.25">
      <c r="F23" s="107" t="s">
        <v>3</v>
      </c>
      <c r="G23" s="108">
        <f>SUM(G21:G22)</f>
        <v>4068012</v>
      </c>
      <c r="H23" s="99" t="s">
        <v>180</v>
      </c>
      <c r="M23" s="132"/>
      <c r="N23" s="131"/>
    </row>
    <row r="24" spans="6:19" ht="15" customHeight="1" x14ac:dyDescent="0.25"/>
    <row r="25" spans="6:19" x14ac:dyDescent="0.25">
      <c r="F25" s="16" t="s">
        <v>56</v>
      </c>
      <c r="G25" s="21" t="s">
        <v>57</v>
      </c>
    </row>
    <row r="26" spans="6:19" s="35" customFormat="1" x14ac:dyDescent="0.25">
      <c r="F26" s="35" t="s">
        <v>290</v>
      </c>
      <c r="G26" s="36">
        <f>SUM(114+34+380)*879</f>
        <v>464112</v>
      </c>
      <c r="I26" s="54">
        <f>SUM(G26:G27)</f>
        <v>4068012</v>
      </c>
      <c r="J26" s="35" t="s">
        <v>138</v>
      </c>
      <c r="Q26" s="135"/>
    </row>
    <row r="27" spans="6:19" s="35" customFormat="1" x14ac:dyDescent="0.25">
      <c r="F27" s="35" t="s">
        <v>291</v>
      </c>
      <c r="G27" s="36">
        <f>SUM(1172*3075)</f>
        <v>3603900</v>
      </c>
      <c r="Q27" s="135"/>
    </row>
    <row r="28" spans="6:19" s="35" customFormat="1" ht="7.5" customHeight="1" x14ac:dyDescent="0.25">
      <c r="G28" s="36"/>
      <c r="Q28" s="135"/>
    </row>
    <row r="29" spans="6:19" s="35" customFormat="1" x14ac:dyDescent="0.25">
      <c r="F29" s="222" t="s">
        <v>301</v>
      </c>
      <c r="G29" s="36">
        <v>400000</v>
      </c>
      <c r="Q29" s="135"/>
    </row>
    <row r="30" spans="6:19" s="35" customFormat="1" x14ac:dyDescent="0.25">
      <c r="F30" s="222" t="s">
        <v>292</v>
      </c>
      <c r="G30" s="36">
        <v>1600000</v>
      </c>
      <c r="Q30" s="135"/>
    </row>
    <row r="31" spans="6:19" x14ac:dyDescent="0.25">
      <c r="F31" s="22" t="s">
        <v>3</v>
      </c>
      <c r="G31" s="30">
        <f>SUM(G26:G30)</f>
        <v>6068012</v>
      </c>
      <c r="I31" s="53"/>
      <c r="O31" s="21" t="s">
        <v>56</v>
      </c>
      <c r="P31" s="54">
        <f>SUM((G31-I26)/N20)</f>
        <v>12.703332719338919</v>
      </c>
      <c r="Q31" s="29" t="s">
        <v>134</v>
      </c>
    </row>
    <row r="32" spans="6:19" ht="15" customHeight="1" x14ac:dyDescent="0.25">
      <c r="O32" s="21" t="s">
        <v>56</v>
      </c>
      <c r="P32" s="54">
        <v>0</v>
      </c>
      <c r="Q32" t="s">
        <v>350</v>
      </c>
      <c r="S32" s="35"/>
    </row>
    <row r="33" spans="6:17" s="35" customFormat="1" ht="15" customHeight="1" x14ac:dyDescent="0.25">
      <c r="O33" s="49" t="s">
        <v>56</v>
      </c>
      <c r="P33" s="54">
        <v>0</v>
      </c>
      <c r="Q33" s="35" t="s">
        <v>349</v>
      </c>
    </row>
    <row r="34" spans="6:17" x14ac:dyDescent="0.25">
      <c r="F34" s="16" t="s">
        <v>72</v>
      </c>
      <c r="G34" s="21" t="s">
        <v>57</v>
      </c>
    </row>
    <row r="35" spans="6:17" x14ac:dyDescent="0.25">
      <c r="F35" t="s">
        <v>286</v>
      </c>
      <c r="G35" s="148">
        <f>SUM(1700*1921)</f>
        <v>3265700</v>
      </c>
    </row>
    <row r="36" spans="6:17" ht="13.5" customHeight="1" x14ac:dyDescent="0.25">
      <c r="F36" t="s">
        <v>323</v>
      </c>
      <c r="G36" s="148">
        <v>2040000</v>
      </c>
    </row>
    <row r="37" spans="6:17" x14ac:dyDescent="0.25">
      <c r="F37" t="s">
        <v>293</v>
      </c>
      <c r="G37" s="148">
        <v>8000000</v>
      </c>
    </row>
    <row r="38" spans="6:17" x14ac:dyDescent="0.25">
      <c r="F38" t="s">
        <v>102</v>
      </c>
      <c r="G38" s="148">
        <v>2000000</v>
      </c>
    </row>
    <row r="39" spans="6:17" x14ac:dyDescent="0.25">
      <c r="F39" t="s">
        <v>99</v>
      </c>
      <c r="G39" s="148">
        <v>500000</v>
      </c>
    </row>
    <row r="40" spans="6:17" x14ac:dyDescent="0.25">
      <c r="F40" s="35" t="s">
        <v>295</v>
      </c>
      <c r="G40" s="42">
        <v>500000</v>
      </c>
    </row>
    <row r="41" spans="6:17" x14ac:dyDescent="0.25">
      <c r="F41" s="22" t="s">
        <v>3</v>
      </c>
      <c r="G41" s="30">
        <f>SUM(G35:G40)</f>
        <v>16305700</v>
      </c>
      <c r="I41" s="54">
        <f>SUM(G41/G20)</f>
        <v>9591.5882352941171</v>
      </c>
    </row>
  </sheetData>
  <sheetProtection selectLockedCell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53"/>
  <sheetViews>
    <sheetView topLeftCell="G1" workbookViewId="0">
      <selection activeCell="Q34" sqref="Q34"/>
    </sheetView>
  </sheetViews>
  <sheetFormatPr defaultRowHeight="15" x14ac:dyDescent="0.25"/>
  <cols>
    <col min="1" max="1" width="4.5703125" customWidth="1"/>
    <col min="2" max="2" width="27.28515625" bestFit="1" customWidth="1"/>
    <col min="3" max="3" width="6.5703125" bestFit="1" customWidth="1"/>
    <col min="4" max="4" width="7" bestFit="1" customWidth="1"/>
    <col min="5" max="5" width="4.5703125" customWidth="1"/>
    <col min="6" max="6" width="44" bestFit="1" customWidth="1"/>
    <col min="7" max="7" width="11.140625" bestFit="1" customWidth="1"/>
    <col min="8" max="8" width="12.5703125" bestFit="1" customWidth="1"/>
    <col min="9" max="9" width="11.140625" bestFit="1" customWidth="1"/>
    <col min="10" max="10" width="10.140625" customWidth="1"/>
    <col min="11" max="11" width="14.42578125" customWidth="1"/>
    <col min="12" max="12" width="12.7109375" bestFit="1" customWidth="1"/>
    <col min="13" max="13" width="12.7109375" customWidth="1"/>
    <col min="14" max="14" width="8.5703125" bestFit="1" customWidth="1"/>
    <col min="15" max="15" width="12.140625" bestFit="1" customWidth="1"/>
    <col min="16" max="16" width="11.140625" bestFit="1" customWidth="1"/>
    <col min="17" max="17" width="5.85546875" customWidth="1"/>
    <col min="18" max="18" width="7.7109375" customWidth="1"/>
    <col min="19" max="19" width="7.85546875" customWidth="1"/>
  </cols>
  <sheetData>
    <row r="1" spans="2:20" x14ac:dyDescent="0.25">
      <c r="C1" s="135" t="s">
        <v>263</v>
      </c>
      <c r="D1" s="168" t="s">
        <v>264</v>
      </c>
      <c r="F1" s="16" t="s">
        <v>254</v>
      </c>
      <c r="R1" s="133"/>
      <c r="S1" s="133"/>
      <c r="T1" s="133"/>
    </row>
    <row r="2" spans="2:20" ht="30" x14ac:dyDescent="0.25">
      <c r="B2" t="s">
        <v>296</v>
      </c>
      <c r="C2" s="29">
        <f>1100*0.25</f>
        <v>275</v>
      </c>
      <c r="F2" s="2" t="s">
        <v>0</v>
      </c>
      <c r="G2" s="2" t="s">
        <v>53</v>
      </c>
      <c r="H2" s="2" t="s">
        <v>161</v>
      </c>
      <c r="I2" s="2" t="s">
        <v>174</v>
      </c>
      <c r="J2" s="2" t="s">
        <v>150</v>
      </c>
      <c r="K2" s="2" t="s">
        <v>159</v>
      </c>
      <c r="L2" s="2" t="s">
        <v>146</v>
      </c>
      <c r="M2" s="2" t="s">
        <v>148</v>
      </c>
      <c r="N2" s="9" t="s">
        <v>32</v>
      </c>
      <c r="O2" s="9" t="s">
        <v>160</v>
      </c>
      <c r="P2" s="9" t="s">
        <v>192</v>
      </c>
      <c r="R2" s="112"/>
      <c r="S2" s="112"/>
      <c r="T2" s="112"/>
    </row>
    <row r="3" spans="2:20" x14ac:dyDescent="0.25">
      <c r="B3" t="s">
        <v>297</v>
      </c>
      <c r="C3" s="29">
        <f>275*0.8</f>
        <v>220</v>
      </c>
      <c r="D3" s="16">
        <f>C3</f>
        <v>220</v>
      </c>
      <c r="F3" s="58" t="s">
        <v>151</v>
      </c>
      <c r="G3" s="59">
        <v>32</v>
      </c>
      <c r="H3" s="59">
        <v>67</v>
      </c>
      <c r="I3" s="59"/>
      <c r="J3" s="60">
        <f>SUM(H3*2200)</f>
        <v>147400</v>
      </c>
      <c r="K3" s="61">
        <f t="shared" ref="K3:K19" si="0">SUM(J3*G3)</f>
        <v>4716800</v>
      </c>
      <c r="L3" s="67">
        <f t="shared" ref="L3:L4" si="1">SUM(K3*0.5)</f>
        <v>2358400</v>
      </c>
      <c r="M3" s="59"/>
      <c r="N3" s="10">
        <f t="shared" ref="N3:N19" si="2">SUM(G3*H3)</f>
        <v>2144</v>
      </c>
      <c r="O3" s="7"/>
      <c r="P3" s="7"/>
      <c r="R3" s="156"/>
      <c r="S3" s="133"/>
      <c r="T3" s="133"/>
    </row>
    <row r="4" spans="2:20" x14ac:dyDescent="0.25">
      <c r="B4" t="s">
        <v>298</v>
      </c>
      <c r="C4" s="29">
        <f>275*0.2</f>
        <v>55</v>
      </c>
      <c r="D4" s="16">
        <f>C4</f>
        <v>55</v>
      </c>
      <c r="F4" s="58" t="s">
        <v>152</v>
      </c>
      <c r="G4" s="59">
        <v>23</v>
      </c>
      <c r="H4" s="59">
        <v>78</v>
      </c>
      <c r="I4" s="59"/>
      <c r="J4" s="60">
        <f>SUM(H4*2200)</f>
        <v>171600</v>
      </c>
      <c r="K4" s="61">
        <f t="shared" si="0"/>
        <v>3946800</v>
      </c>
      <c r="L4" s="67">
        <f t="shared" si="1"/>
        <v>1973400</v>
      </c>
      <c r="M4" s="59"/>
      <c r="N4" s="10">
        <f t="shared" si="2"/>
        <v>1794</v>
      </c>
      <c r="O4" s="7"/>
      <c r="P4" s="7"/>
      <c r="R4" s="156"/>
      <c r="S4" s="133"/>
      <c r="T4" s="133"/>
    </row>
    <row r="5" spans="2:20" x14ac:dyDescent="0.25">
      <c r="B5" s="147" t="s">
        <v>322</v>
      </c>
      <c r="C5" s="29">
        <f>SUM(1100-C2)</f>
        <v>825</v>
      </c>
      <c r="D5" s="16">
        <f>C5</f>
        <v>825</v>
      </c>
      <c r="F5" s="58" t="s">
        <v>153</v>
      </c>
      <c r="G5" s="59">
        <v>7</v>
      </c>
      <c r="H5" s="59">
        <v>45</v>
      </c>
      <c r="I5" s="59" t="s">
        <v>158</v>
      </c>
      <c r="J5" s="60">
        <f>SUM(J6*(H5/H6))</f>
        <v>109163.79310344828</v>
      </c>
      <c r="K5" s="61">
        <f t="shared" si="0"/>
        <v>764146.55172413797</v>
      </c>
      <c r="L5" s="61"/>
      <c r="M5" s="62">
        <f>SUM(K5*0.37)</f>
        <v>282734.22413793107</v>
      </c>
      <c r="N5" s="10">
        <f t="shared" si="2"/>
        <v>315</v>
      </c>
      <c r="O5" s="7"/>
      <c r="P5" s="7"/>
      <c r="R5" s="156"/>
      <c r="S5" s="133"/>
      <c r="T5" s="133"/>
    </row>
    <row r="6" spans="2:20" x14ac:dyDescent="0.25">
      <c r="F6" s="58" t="s">
        <v>154</v>
      </c>
      <c r="G6" s="59">
        <v>7</v>
      </c>
      <c r="H6" s="59">
        <v>58</v>
      </c>
      <c r="I6" s="59" t="s">
        <v>157</v>
      </c>
      <c r="J6" s="60">
        <v>140700</v>
      </c>
      <c r="K6" s="61">
        <f t="shared" si="0"/>
        <v>984900</v>
      </c>
      <c r="L6" s="61"/>
      <c r="M6" s="62">
        <f t="shared" ref="M6:M11" si="3">SUM(K6*0.37)</f>
        <v>364413</v>
      </c>
      <c r="N6" s="10">
        <f t="shared" si="2"/>
        <v>406</v>
      </c>
      <c r="O6" s="7"/>
      <c r="P6" s="7"/>
      <c r="R6" s="156"/>
      <c r="S6" s="133"/>
      <c r="T6" s="133"/>
    </row>
    <row r="7" spans="2:20" x14ac:dyDescent="0.25">
      <c r="F7" s="58" t="s">
        <v>144</v>
      </c>
      <c r="G7" s="59">
        <v>74</v>
      </c>
      <c r="H7" s="59">
        <v>46</v>
      </c>
      <c r="I7" s="59" t="s">
        <v>145</v>
      </c>
      <c r="J7" s="60">
        <v>95800</v>
      </c>
      <c r="K7" s="61">
        <f t="shared" si="0"/>
        <v>7089200</v>
      </c>
      <c r="L7" s="61"/>
      <c r="M7" s="62">
        <f t="shared" si="3"/>
        <v>2623004</v>
      </c>
      <c r="N7" s="10">
        <f t="shared" si="2"/>
        <v>3404</v>
      </c>
      <c r="O7" s="7"/>
      <c r="P7" s="7"/>
      <c r="R7" s="156"/>
      <c r="S7" s="133"/>
      <c r="T7" s="133"/>
    </row>
    <row r="8" spans="2:20" x14ac:dyDescent="0.25">
      <c r="F8" s="58" t="s">
        <v>149</v>
      </c>
      <c r="G8" s="59">
        <v>22</v>
      </c>
      <c r="H8" s="59">
        <v>59</v>
      </c>
      <c r="I8" s="59" t="s">
        <v>156</v>
      </c>
      <c r="J8" s="60">
        <v>119700</v>
      </c>
      <c r="K8" s="61">
        <f t="shared" si="0"/>
        <v>2633400</v>
      </c>
      <c r="L8" s="61"/>
      <c r="M8" s="62">
        <f t="shared" si="3"/>
        <v>974358</v>
      </c>
      <c r="N8" s="10">
        <f t="shared" si="2"/>
        <v>1298</v>
      </c>
      <c r="O8" s="7"/>
      <c r="P8" s="56"/>
      <c r="R8" s="156"/>
      <c r="S8" s="133"/>
      <c r="T8" s="133"/>
    </row>
    <row r="9" spans="2:20" x14ac:dyDescent="0.25">
      <c r="F9" s="58" t="s">
        <v>143</v>
      </c>
      <c r="G9" s="59">
        <v>59</v>
      </c>
      <c r="H9" s="59">
        <v>83</v>
      </c>
      <c r="I9" s="59" t="s">
        <v>140</v>
      </c>
      <c r="J9" s="60">
        <v>147800</v>
      </c>
      <c r="K9" s="61">
        <f t="shared" si="0"/>
        <v>8720200</v>
      </c>
      <c r="L9" s="61"/>
      <c r="M9" s="62">
        <f t="shared" si="3"/>
        <v>3226474</v>
      </c>
      <c r="N9" s="10">
        <f t="shared" si="2"/>
        <v>4897</v>
      </c>
      <c r="O9" s="7"/>
      <c r="P9" s="7"/>
      <c r="R9" s="156"/>
      <c r="S9" s="133"/>
      <c r="T9" s="133"/>
    </row>
    <row r="10" spans="2:20" x14ac:dyDescent="0.25">
      <c r="B10" s="35"/>
      <c r="C10" s="35"/>
      <c r="F10" s="58" t="s">
        <v>147</v>
      </c>
      <c r="G10" s="59">
        <v>45</v>
      </c>
      <c r="H10" s="59">
        <v>88</v>
      </c>
      <c r="I10" s="59" t="s">
        <v>228</v>
      </c>
      <c r="J10" s="60">
        <v>154200</v>
      </c>
      <c r="K10" s="61">
        <f t="shared" si="0"/>
        <v>6939000</v>
      </c>
      <c r="L10" s="61"/>
      <c r="M10" s="62">
        <f t="shared" si="3"/>
        <v>2567430</v>
      </c>
      <c r="N10" s="10">
        <f t="shared" si="2"/>
        <v>3960</v>
      </c>
      <c r="O10" s="7"/>
      <c r="P10" s="7"/>
      <c r="R10" s="156"/>
      <c r="S10" s="133"/>
      <c r="T10" s="133"/>
    </row>
    <row r="11" spans="2:20" x14ac:dyDescent="0.25">
      <c r="B11" s="35"/>
      <c r="C11" s="35"/>
      <c r="F11" s="58" t="s">
        <v>155</v>
      </c>
      <c r="G11" s="59">
        <v>6</v>
      </c>
      <c r="H11" s="59">
        <v>110</v>
      </c>
      <c r="I11" s="59" t="s">
        <v>142</v>
      </c>
      <c r="J11" s="60">
        <v>192000</v>
      </c>
      <c r="K11" s="61">
        <f t="shared" si="0"/>
        <v>1152000</v>
      </c>
      <c r="L11" s="61"/>
      <c r="M11" s="62">
        <f t="shared" si="3"/>
        <v>426240</v>
      </c>
      <c r="N11" s="10">
        <f t="shared" si="2"/>
        <v>660</v>
      </c>
      <c r="O11" s="7"/>
      <c r="P11" s="125">
        <f>SUM(N3:N11)</f>
        <v>18878</v>
      </c>
      <c r="R11" s="156"/>
      <c r="S11" s="133"/>
      <c r="T11" s="133"/>
    </row>
    <row r="12" spans="2:20" x14ac:dyDescent="0.25">
      <c r="B12" s="35"/>
      <c r="C12" s="35"/>
      <c r="F12" s="214" t="s">
        <v>13</v>
      </c>
      <c r="G12" s="209">
        <v>57</v>
      </c>
      <c r="H12" s="209">
        <v>67</v>
      </c>
      <c r="I12" s="209"/>
      <c r="J12" s="226">
        <f>SUM(H12*2200)</f>
        <v>147400</v>
      </c>
      <c r="K12" s="216">
        <f t="shared" si="0"/>
        <v>8401800</v>
      </c>
      <c r="L12" s="143"/>
      <c r="M12" s="224"/>
      <c r="N12" s="152">
        <f t="shared" si="2"/>
        <v>3819</v>
      </c>
      <c r="O12" s="149"/>
      <c r="P12" s="153"/>
      <c r="R12" s="156"/>
      <c r="S12" s="133"/>
      <c r="T12" s="133"/>
    </row>
    <row r="13" spans="2:20" x14ac:dyDescent="0.25">
      <c r="F13" s="223" t="s">
        <v>14</v>
      </c>
      <c r="G13" s="150">
        <v>42</v>
      </c>
      <c r="H13" s="89">
        <v>78</v>
      </c>
      <c r="I13" s="59"/>
      <c r="J13" s="226">
        <f>SUM(H13*2200)</f>
        <v>171600</v>
      </c>
      <c r="K13" s="216">
        <f t="shared" si="0"/>
        <v>7207200</v>
      </c>
      <c r="L13" s="61"/>
      <c r="M13" s="62"/>
      <c r="N13" s="10">
        <f t="shared" si="2"/>
        <v>3276</v>
      </c>
      <c r="O13" s="7"/>
      <c r="P13" s="125"/>
      <c r="R13" s="156"/>
      <c r="S13" s="133"/>
      <c r="T13" s="133"/>
    </row>
    <row r="14" spans="2:20" x14ac:dyDescent="0.25">
      <c r="F14" s="223" t="s">
        <v>15</v>
      </c>
      <c r="G14" s="150">
        <v>49</v>
      </c>
      <c r="H14" s="89">
        <v>110</v>
      </c>
      <c r="I14" s="59"/>
      <c r="J14" s="226">
        <f t="shared" ref="J14:J19" si="4">SUM(H14*2200)</f>
        <v>242000</v>
      </c>
      <c r="K14" s="216">
        <f t="shared" si="0"/>
        <v>11858000</v>
      </c>
      <c r="L14" s="61"/>
      <c r="M14" s="62"/>
      <c r="N14" s="10">
        <f t="shared" si="2"/>
        <v>5390</v>
      </c>
      <c r="O14" s="7"/>
      <c r="P14" s="125"/>
      <c r="R14" s="156"/>
      <c r="S14" s="133"/>
      <c r="T14" s="133"/>
    </row>
    <row r="15" spans="2:20" x14ac:dyDescent="0.25">
      <c r="F15" s="7" t="s">
        <v>30</v>
      </c>
      <c r="G15" s="217">
        <v>165</v>
      </c>
      <c r="H15" s="169">
        <v>82</v>
      </c>
      <c r="I15" s="3"/>
      <c r="J15" s="226">
        <f t="shared" si="4"/>
        <v>180400</v>
      </c>
      <c r="K15" s="216">
        <f t="shared" si="0"/>
        <v>29766000</v>
      </c>
      <c r="L15" s="3"/>
      <c r="M15" s="3"/>
      <c r="N15" s="10">
        <f t="shared" si="2"/>
        <v>13530</v>
      </c>
      <c r="O15" s="7"/>
      <c r="P15" s="7"/>
      <c r="R15" s="156"/>
      <c r="S15" s="133"/>
      <c r="T15" s="133"/>
    </row>
    <row r="16" spans="2:20" x14ac:dyDescent="0.25">
      <c r="B16" s="35"/>
      <c r="C16" s="35"/>
      <c r="F16" s="7" t="s">
        <v>31</v>
      </c>
      <c r="G16" s="217">
        <v>110</v>
      </c>
      <c r="H16" s="169">
        <v>110</v>
      </c>
      <c r="I16" s="3"/>
      <c r="J16" s="226">
        <f t="shared" si="4"/>
        <v>242000</v>
      </c>
      <c r="K16" s="216">
        <f t="shared" si="0"/>
        <v>26620000</v>
      </c>
      <c r="L16" s="3"/>
      <c r="M16" s="3"/>
      <c r="N16" s="10">
        <f t="shared" si="2"/>
        <v>12100</v>
      </c>
      <c r="O16" s="7"/>
      <c r="P16" s="7"/>
      <c r="R16" s="156"/>
      <c r="S16" s="133"/>
      <c r="T16" s="133"/>
    </row>
    <row r="17" spans="2:20" x14ac:dyDescent="0.25">
      <c r="B17" s="35"/>
      <c r="C17" s="35"/>
      <c r="F17" s="7" t="s">
        <v>26</v>
      </c>
      <c r="G17" s="225">
        <v>220</v>
      </c>
      <c r="H17" s="169">
        <v>94</v>
      </c>
      <c r="I17" s="3"/>
      <c r="J17" s="226">
        <f t="shared" si="4"/>
        <v>206800</v>
      </c>
      <c r="K17" s="216">
        <f t="shared" si="0"/>
        <v>45496000</v>
      </c>
      <c r="L17" s="3"/>
      <c r="M17" s="3"/>
      <c r="N17" s="10">
        <f t="shared" si="2"/>
        <v>20680</v>
      </c>
      <c r="O17" s="7"/>
      <c r="P17" s="7"/>
      <c r="R17" s="156"/>
      <c r="S17" s="133"/>
      <c r="T17" s="133"/>
    </row>
    <row r="18" spans="2:20" x14ac:dyDescent="0.25">
      <c r="B18" s="35"/>
      <c r="C18" s="35"/>
      <c r="F18" s="7" t="s">
        <v>27</v>
      </c>
      <c r="G18" s="225">
        <v>165</v>
      </c>
      <c r="H18" s="169">
        <v>120</v>
      </c>
      <c r="I18" s="3"/>
      <c r="J18" s="226">
        <f t="shared" si="4"/>
        <v>264000</v>
      </c>
      <c r="K18" s="216">
        <f t="shared" si="0"/>
        <v>43560000</v>
      </c>
      <c r="L18" s="3"/>
      <c r="M18" s="3"/>
      <c r="N18" s="10">
        <f t="shared" si="2"/>
        <v>19800</v>
      </c>
      <c r="O18" s="7"/>
      <c r="P18" s="7"/>
      <c r="R18" s="156"/>
      <c r="S18" s="133"/>
      <c r="T18" s="133"/>
    </row>
    <row r="19" spans="2:20" x14ac:dyDescent="0.25">
      <c r="B19" s="35"/>
      <c r="C19" s="35"/>
      <c r="F19" s="7" t="s">
        <v>28</v>
      </c>
      <c r="G19" s="225">
        <v>17</v>
      </c>
      <c r="H19" s="169">
        <v>135</v>
      </c>
      <c r="I19" s="3"/>
      <c r="J19" s="226">
        <f t="shared" si="4"/>
        <v>297000</v>
      </c>
      <c r="K19" s="216">
        <f t="shared" si="0"/>
        <v>5049000</v>
      </c>
      <c r="L19" s="3"/>
      <c r="M19" s="3"/>
      <c r="N19" s="10">
        <f t="shared" si="2"/>
        <v>2295</v>
      </c>
      <c r="O19" s="7"/>
      <c r="P19" s="7"/>
      <c r="R19" s="156"/>
      <c r="S19" s="133"/>
      <c r="T19" s="133"/>
    </row>
    <row r="20" spans="2:20" x14ac:dyDescent="0.25">
      <c r="F20" s="6" t="s">
        <v>3</v>
      </c>
      <c r="G20" s="66">
        <f>SUM(G3:G19)</f>
        <v>1100</v>
      </c>
      <c r="H20" s="3"/>
      <c r="I20" s="7"/>
      <c r="J20" s="227"/>
      <c r="K20" s="229">
        <f>SUM(K3:K19)</f>
        <v>214904446.55172414</v>
      </c>
      <c r="L20" s="55">
        <f>SUM(L3:L4)</f>
        <v>4331800</v>
      </c>
      <c r="M20" s="98">
        <f>SUM(M5:M11)</f>
        <v>10464653.224137932</v>
      </c>
      <c r="N20" s="129">
        <f>SUM(N3:N19)</f>
        <v>99768</v>
      </c>
      <c r="O20" s="153">
        <f>SUM(N12:N19)</f>
        <v>80890</v>
      </c>
      <c r="P20" s="7"/>
      <c r="R20" s="156"/>
      <c r="S20" s="133"/>
      <c r="T20" s="133"/>
    </row>
    <row r="21" spans="2:20" ht="15.75" x14ac:dyDescent="0.25">
      <c r="F21" s="157"/>
      <c r="G21" s="157"/>
      <c r="H21" s="157"/>
      <c r="I21" s="157"/>
      <c r="J21" s="157"/>
      <c r="K21" s="99"/>
      <c r="L21" s="68" t="s">
        <v>8</v>
      </c>
      <c r="M21" s="65">
        <f>SUM(L20:M20)</f>
        <v>14796453.224137932</v>
      </c>
      <c r="N21" s="133" t="s">
        <v>250</v>
      </c>
      <c r="O21" s="133"/>
      <c r="P21" s="133"/>
      <c r="R21" s="156"/>
      <c r="S21" s="133"/>
      <c r="T21" s="133"/>
    </row>
    <row r="22" spans="2:20" x14ac:dyDescent="0.25">
      <c r="F22" s="16" t="s">
        <v>56</v>
      </c>
      <c r="G22" s="21" t="s">
        <v>57</v>
      </c>
      <c r="R22" s="156"/>
      <c r="S22" s="133"/>
      <c r="T22" s="133"/>
    </row>
    <row r="23" spans="2:20" s="35" customFormat="1" x14ac:dyDescent="0.25">
      <c r="F23" s="35" t="s">
        <v>299</v>
      </c>
      <c r="G23" s="36">
        <f>SUM(96*879)</f>
        <v>84384</v>
      </c>
      <c r="I23" s="30">
        <f>SUM(G23:G24)</f>
        <v>3171684</v>
      </c>
      <c r="J23" s="35" t="s">
        <v>251</v>
      </c>
      <c r="K23" s="99"/>
      <c r="R23" s="156"/>
      <c r="S23" s="133"/>
      <c r="T23" s="99"/>
    </row>
    <row r="24" spans="2:20" s="35" customFormat="1" x14ac:dyDescent="0.25">
      <c r="F24" s="35" t="s">
        <v>300</v>
      </c>
      <c r="G24" s="36">
        <f>SUM(1004*3075)</f>
        <v>3087300</v>
      </c>
      <c r="R24" s="156"/>
      <c r="S24" s="133"/>
      <c r="T24" s="99"/>
    </row>
    <row r="25" spans="2:20" s="35" customFormat="1" ht="6.75" customHeight="1" x14ac:dyDescent="0.25">
      <c r="G25" s="36"/>
      <c r="R25" s="156"/>
      <c r="S25" s="133"/>
      <c r="T25" s="99"/>
    </row>
    <row r="26" spans="2:20" s="35" customFormat="1" x14ac:dyDescent="0.25">
      <c r="F26" s="35" t="s">
        <v>301</v>
      </c>
      <c r="G26" s="36">
        <v>400000</v>
      </c>
      <c r="R26" s="156"/>
      <c r="S26" s="133"/>
      <c r="T26" s="99"/>
    </row>
    <row r="27" spans="2:20" s="35" customFormat="1" x14ac:dyDescent="0.25">
      <c r="F27" s="222" t="s">
        <v>292</v>
      </c>
      <c r="G27" s="36">
        <v>1600000</v>
      </c>
      <c r="R27" s="156"/>
      <c r="S27" s="133"/>
      <c r="T27" s="99"/>
    </row>
    <row r="28" spans="2:20" x14ac:dyDescent="0.25">
      <c r="F28" s="22" t="s">
        <v>3</v>
      </c>
      <c r="G28" s="30">
        <f>SUM(G23:G27)</f>
        <v>5171684</v>
      </c>
      <c r="I28" s="53"/>
      <c r="O28" s="21" t="s">
        <v>56</v>
      </c>
      <c r="P28" s="54">
        <f>SUM((G28-I23)/N20)</f>
        <v>20.046507898324112</v>
      </c>
      <c r="Q28" t="s">
        <v>134</v>
      </c>
      <c r="R28" s="158"/>
      <c r="S28" s="159"/>
      <c r="T28" s="133"/>
    </row>
    <row r="29" spans="2:20" ht="15" customHeight="1" x14ac:dyDescent="0.25">
      <c r="O29" s="21" t="s">
        <v>56</v>
      </c>
      <c r="P29" s="54">
        <v>0</v>
      </c>
      <c r="Q29" t="s">
        <v>350</v>
      </c>
      <c r="S29" s="35"/>
      <c r="T29" s="133"/>
    </row>
    <row r="30" spans="2:20" s="35" customFormat="1" ht="15" customHeight="1" x14ac:dyDescent="0.25">
      <c r="O30" s="49" t="s">
        <v>56</v>
      </c>
      <c r="P30" s="54">
        <v>0</v>
      </c>
      <c r="Q30" s="35" t="s">
        <v>349</v>
      </c>
    </row>
    <row r="31" spans="2:20" x14ac:dyDescent="0.25">
      <c r="F31" s="16" t="s">
        <v>72</v>
      </c>
      <c r="G31" s="21" t="s">
        <v>57</v>
      </c>
    </row>
    <row r="32" spans="2:20" s="162" customFormat="1" x14ac:dyDescent="0.25">
      <c r="F32" s="161"/>
      <c r="G32" s="162" t="s">
        <v>241</v>
      </c>
      <c r="H32" s="163" t="s">
        <v>294</v>
      </c>
      <c r="I32" s="162" t="s">
        <v>3</v>
      </c>
      <c r="J32" s="162" t="s">
        <v>252</v>
      </c>
    </row>
    <row r="33" spans="6:13" x14ac:dyDescent="0.25">
      <c r="F33" s="147" t="s">
        <v>242</v>
      </c>
      <c r="G33" s="148">
        <f>SUM(123*1100)</f>
        <v>135300</v>
      </c>
      <c r="H33" s="148">
        <f>SUM(101*1100)</f>
        <v>111100</v>
      </c>
      <c r="I33" s="148">
        <f>SUM(G33+H33)</f>
        <v>246400</v>
      </c>
      <c r="J33" s="37">
        <f>SUM(9.16*1110)</f>
        <v>10167.6</v>
      </c>
    </row>
    <row r="34" spans="6:13" x14ac:dyDescent="0.25">
      <c r="F34" s="147" t="s">
        <v>243</v>
      </c>
      <c r="G34" s="148">
        <f>SUM(393*1100)</f>
        <v>432300</v>
      </c>
      <c r="H34" s="148">
        <f>SUM(115*1100)</f>
        <v>126500</v>
      </c>
      <c r="I34" s="148">
        <f t="shared" ref="I34:I35" si="5">SUM(G34+H34)</f>
        <v>558800</v>
      </c>
      <c r="J34" s="37">
        <f>SUM(18.3*1100)</f>
        <v>20130</v>
      </c>
    </row>
    <row r="35" spans="6:13" x14ac:dyDescent="0.25">
      <c r="F35" s="147" t="s">
        <v>244</v>
      </c>
      <c r="G35" s="148">
        <f>SUM(584*1100)</f>
        <v>642400</v>
      </c>
      <c r="H35" s="148">
        <f>SUM(769*1100)</f>
        <v>845900</v>
      </c>
      <c r="I35" s="148">
        <f t="shared" si="5"/>
        <v>1488300</v>
      </c>
      <c r="J35" s="37">
        <f>SUM(36.6*1100)</f>
        <v>40260</v>
      </c>
    </row>
    <row r="36" spans="6:13" x14ac:dyDescent="0.25">
      <c r="F36" s="147" t="s">
        <v>245</v>
      </c>
      <c r="G36" s="148">
        <f>SUM(35*1350)</f>
        <v>47250</v>
      </c>
      <c r="H36" s="148">
        <f>SUM(20*1100)</f>
        <v>22000</v>
      </c>
      <c r="I36" s="148">
        <f>SUM(G36+H36)</f>
        <v>69250</v>
      </c>
      <c r="J36" s="37">
        <f>SUM(5.88*1100)</f>
        <v>6468</v>
      </c>
      <c r="K36" s="30">
        <f>SUM(I33:I36)</f>
        <v>2362750</v>
      </c>
      <c r="L36" s="50" t="s">
        <v>246</v>
      </c>
      <c r="M36" s="20"/>
    </row>
    <row r="37" spans="6:13" ht="17.25" x14ac:dyDescent="0.25">
      <c r="F37" s="147" t="s">
        <v>324</v>
      </c>
      <c r="G37" s="148">
        <f>SUM(J37*1600)</f>
        <v>1320000</v>
      </c>
      <c r="H37" s="148">
        <v>0</v>
      </c>
      <c r="I37" s="148">
        <f t="shared" ref="I37:I41" si="6">SUM(G37+H37)</f>
        <v>1320000</v>
      </c>
      <c r="J37" s="164">
        <f>SUM(1100*0.75)</f>
        <v>825</v>
      </c>
    </row>
    <row r="38" spans="6:13" s="35" customFormat="1" x14ac:dyDescent="0.25">
      <c r="F38" s="147" t="s">
        <v>249</v>
      </c>
      <c r="G38" s="148">
        <v>6000000</v>
      </c>
      <c r="H38" s="148">
        <v>0</v>
      </c>
      <c r="I38" s="148">
        <f t="shared" si="6"/>
        <v>6000000</v>
      </c>
      <c r="J38" s="110">
        <v>15612</v>
      </c>
    </row>
    <row r="39" spans="6:13" x14ac:dyDescent="0.25">
      <c r="F39" s="147" t="s">
        <v>253</v>
      </c>
      <c r="G39" s="148">
        <v>2000000</v>
      </c>
      <c r="H39" s="148">
        <v>0</v>
      </c>
      <c r="I39" s="148">
        <f t="shared" si="6"/>
        <v>2000000</v>
      </c>
    </row>
    <row r="40" spans="6:13" x14ac:dyDescent="0.25">
      <c r="F40" s="147" t="s">
        <v>99</v>
      </c>
      <c r="G40" s="148">
        <v>500000</v>
      </c>
      <c r="H40" s="148">
        <v>0</v>
      </c>
      <c r="I40" s="148">
        <f t="shared" si="6"/>
        <v>500000</v>
      </c>
    </row>
    <row r="41" spans="6:13" x14ac:dyDescent="0.25">
      <c r="F41" s="147" t="s">
        <v>247</v>
      </c>
      <c r="G41" s="42">
        <v>0</v>
      </c>
      <c r="H41" s="148">
        <v>500000</v>
      </c>
      <c r="I41" s="148">
        <f t="shared" si="6"/>
        <v>500000</v>
      </c>
    </row>
    <row r="42" spans="6:13" x14ac:dyDescent="0.25">
      <c r="F42" s="48" t="s">
        <v>3</v>
      </c>
      <c r="G42" s="30">
        <f>SUM(G33:G41)</f>
        <v>11077250</v>
      </c>
      <c r="H42" s="30">
        <f>SUM(H33:H41)</f>
        <v>1605500</v>
      </c>
      <c r="I42" s="30">
        <f>SUM(I33:I41)</f>
        <v>12682750</v>
      </c>
      <c r="J42" s="54">
        <f>SUM(I42/G20)</f>
        <v>11529.772727272728</v>
      </c>
      <c r="K42" s="140" t="s">
        <v>248</v>
      </c>
    </row>
    <row r="53" spans="18:18" x14ac:dyDescent="0.25">
      <c r="R53" s="130"/>
    </row>
  </sheetData>
  <pageMargins left="0.7" right="0.7" top="0.75" bottom="0.75" header="0.3" footer="0.3"/>
  <pageSetup paperSize="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7"/>
  <sheetViews>
    <sheetView topLeftCell="A28" zoomScale="110" zoomScaleNormal="110" workbookViewId="0">
      <selection activeCell="A12" sqref="A12"/>
    </sheetView>
  </sheetViews>
  <sheetFormatPr defaultRowHeight="15" x14ac:dyDescent="0.25"/>
  <cols>
    <col min="1" max="1" width="30.42578125" customWidth="1"/>
    <col min="2" max="2" width="12.7109375" bestFit="1" customWidth="1"/>
    <col min="3" max="3" width="13" customWidth="1"/>
    <col min="4" max="4" width="27.28515625" customWidth="1"/>
    <col min="5" max="5" width="10.5703125" customWidth="1"/>
    <col min="6" max="7" width="10.7109375" customWidth="1"/>
    <col min="8" max="8" width="12.140625" bestFit="1" customWidth="1"/>
    <col min="9" max="9" width="13.7109375" bestFit="1" customWidth="1"/>
    <col min="10" max="11" width="14.7109375" bestFit="1" customWidth="1"/>
    <col min="12" max="12" width="32.42578125" customWidth="1"/>
    <col min="13" max="13" width="11.7109375" bestFit="1" customWidth="1"/>
    <col min="14" max="14" width="14" bestFit="1" customWidth="1"/>
    <col min="15" max="15" width="20.7109375" customWidth="1"/>
    <col min="16" max="16" width="11.140625" customWidth="1"/>
    <col min="17" max="17" width="10.42578125" bestFit="1" customWidth="1"/>
    <col min="18" max="18" width="10.5703125" customWidth="1"/>
    <col min="19" max="19" width="11.85546875" customWidth="1"/>
    <col min="20" max="20" width="13.5703125" customWidth="1"/>
    <col min="21" max="21" width="11.140625" customWidth="1"/>
    <col min="22" max="22" width="9.28515625" bestFit="1" customWidth="1"/>
    <col min="23" max="23" width="6" bestFit="1" customWidth="1"/>
    <col min="24" max="24" width="12.140625" bestFit="1" customWidth="1"/>
    <col min="26" max="26" width="12.85546875" bestFit="1" customWidth="1"/>
  </cols>
  <sheetData>
    <row r="1" spans="1:26" x14ac:dyDescent="0.25">
      <c r="A1" s="16" t="s">
        <v>302</v>
      </c>
      <c r="L1" s="16" t="s">
        <v>303</v>
      </c>
    </row>
    <row r="2" spans="1:26" ht="81" customHeight="1" x14ac:dyDescent="0.25">
      <c r="A2" s="26" t="s">
        <v>0</v>
      </c>
      <c r="B2" s="26" t="s">
        <v>1</v>
      </c>
      <c r="C2" s="26" t="s">
        <v>18</v>
      </c>
      <c r="D2" s="26" t="s">
        <v>2</v>
      </c>
      <c r="E2" s="26" t="s">
        <v>19</v>
      </c>
      <c r="F2" s="26" t="s">
        <v>42</v>
      </c>
      <c r="G2" s="26" t="s">
        <v>41</v>
      </c>
      <c r="H2" s="26" t="s">
        <v>96</v>
      </c>
      <c r="I2" s="26" t="s">
        <v>43</v>
      </c>
      <c r="J2" s="27" t="s">
        <v>48</v>
      </c>
      <c r="L2" s="26" t="s">
        <v>0</v>
      </c>
      <c r="M2" s="26" t="s">
        <v>1</v>
      </c>
      <c r="N2" s="26" t="s">
        <v>18</v>
      </c>
      <c r="O2" s="26" t="s">
        <v>2</v>
      </c>
      <c r="P2" s="26" t="s">
        <v>19</v>
      </c>
      <c r="Q2" s="26" t="s">
        <v>42</v>
      </c>
      <c r="R2" s="26" t="s">
        <v>41</v>
      </c>
      <c r="S2" s="26" t="s">
        <v>96</v>
      </c>
      <c r="T2" s="26" t="s">
        <v>43</v>
      </c>
      <c r="U2" s="27" t="s">
        <v>48</v>
      </c>
      <c r="V2" s="27" t="s">
        <v>304</v>
      </c>
      <c r="W2" s="267" t="s">
        <v>338</v>
      </c>
      <c r="X2" s="267" t="s">
        <v>339</v>
      </c>
      <c r="Y2" s="267" t="s">
        <v>336</v>
      </c>
    </row>
    <row r="3" spans="1:26" x14ac:dyDescent="0.25">
      <c r="A3" s="13" t="s">
        <v>33</v>
      </c>
      <c r="B3" s="230">
        <v>60</v>
      </c>
      <c r="C3" s="13">
        <v>51</v>
      </c>
      <c r="D3" s="13" t="s">
        <v>16</v>
      </c>
      <c r="E3" s="3">
        <v>46</v>
      </c>
      <c r="F3" s="4">
        <f>SUM((95800+101900)/2)</f>
        <v>98850</v>
      </c>
      <c r="G3" s="5">
        <f>SUM(F3/E3)</f>
        <v>2148.913043478261</v>
      </c>
      <c r="H3" s="4">
        <f>SUM((B3*G3)*C3)</f>
        <v>6575673.9130434785</v>
      </c>
      <c r="I3" s="12">
        <f>SUM(H3*0.37)</f>
        <v>2432999.3478260869</v>
      </c>
      <c r="J3" s="14">
        <f>SUM(B3*C3)</f>
        <v>3060</v>
      </c>
      <c r="L3" s="13" t="s">
        <v>33</v>
      </c>
      <c r="M3" s="13">
        <v>72</v>
      </c>
      <c r="N3" s="13">
        <v>51</v>
      </c>
      <c r="O3" s="13" t="s">
        <v>16</v>
      </c>
      <c r="P3" s="3">
        <v>46</v>
      </c>
      <c r="Q3" s="4">
        <f>SUM((95800+101900)/2)</f>
        <v>98850</v>
      </c>
      <c r="R3" s="5">
        <f>SUM(Q3/P3)</f>
        <v>2148.913043478261</v>
      </c>
      <c r="S3" s="4">
        <f>SUM((M3*R3)*N3)</f>
        <v>7890808.6956521738</v>
      </c>
      <c r="T3" s="12">
        <f>SUM(S3*0.37)</f>
        <v>2919599.2173913042</v>
      </c>
      <c r="U3" s="14">
        <f>SUM(M3*N3)</f>
        <v>3672</v>
      </c>
      <c r="V3" s="234">
        <f>SUM(2100*N3)</f>
        <v>107100</v>
      </c>
      <c r="W3" s="271">
        <v>665</v>
      </c>
      <c r="X3" s="271">
        <f>SUM(U3*W3)</f>
        <v>2441880</v>
      </c>
      <c r="Y3" s="269">
        <f>U3+U4</f>
        <v>6012</v>
      </c>
      <c r="Z3" s="37"/>
    </row>
    <row r="4" spans="1:26" x14ac:dyDescent="0.25">
      <c r="A4" s="13" t="s">
        <v>34</v>
      </c>
      <c r="B4" s="230">
        <v>30</v>
      </c>
      <c r="C4" s="13">
        <v>65</v>
      </c>
      <c r="D4" s="13" t="s">
        <v>17</v>
      </c>
      <c r="E4" s="3">
        <v>59</v>
      </c>
      <c r="F4" s="4">
        <f>SUM((119700+126600)/2)</f>
        <v>123150</v>
      </c>
      <c r="G4" s="5">
        <f t="shared" ref="G4:G7" si="0">SUM(F4/E4)</f>
        <v>2087.2881355932204</v>
      </c>
      <c r="H4" s="4">
        <f t="shared" ref="H4" si="1">SUM((B4*G4)*C4)</f>
        <v>4070211.8644067799</v>
      </c>
      <c r="I4" s="12">
        <f t="shared" ref="I4:I7" si="2">SUM(H4*0.37)</f>
        <v>1505978.3898305085</v>
      </c>
      <c r="J4" s="14">
        <f t="shared" ref="J4:J10" si="3">SUM(B4*C4)</f>
        <v>1950</v>
      </c>
      <c r="L4" s="13" t="s">
        <v>34</v>
      </c>
      <c r="M4" s="13">
        <v>36</v>
      </c>
      <c r="N4" s="13">
        <v>65</v>
      </c>
      <c r="O4" s="13" t="s">
        <v>17</v>
      </c>
      <c r="P4" s="3">
        <v>59</v>
      </c>
      <c r="Q4" s="4">
        <f>SUM((119700+126600)/2)</f>
        <v>123150</v>
      </c>
      <c r="R4" s="5">
        <f t="shared" ref="R4:R7" si="4">SUM(Q4/P4)</f>
        <v>2087.2881355932204</v>
      </c>
      <c r="S4" s="4">
        <f t="shared" ref="S4" si="5">SUM((M4*R4)*N4)</f>
        <v>4884254.2372881351</v>
      </c>
      <c r="T4" s="12">
        <f t="shared" ref="T4:T7" si="6">SUM(S4*0.37)</f>
        <v>1807174.0677966101</v>
      </c>
      <c r="U4" s="14">
        <f t="shared" ref="U4:U9" si="7">SUM(M4*N4)</f>
        <v>2340</v>
      </c>
      <c r="V4" s="234">
        <f t="shared" ref="V4:V9" si="8">SUM(2100*N4)</f>
        <v>136500</v>
      </c>
      <c r="W4" s="271">
        <v>665</v>
      </c>
      <c r="X4" s="271">
        <f t="shared" ref="X4:X8" si="9">SUM(U4*W4)</f>
        <v>1556100</v>
      </c>
      <c r="Y4" s="268"/>
      <c r="Z4" s="37"/>
    </row>
    <row r="5" spans="1:26" x14ac:dyDescent="0.25">
      <c r="A5" s="13" t="s">
        <v>35</v>
      </c>
      <c r="B5" s="230">
        <v>30</v>
      </c>
      <c r="C5" s="13">
        <v>83</v>
      </c>
      <c r="D5" s="3" t="s">
        <v>21</v>
      </c>
      <c r="E5" s="3">
        <v>83</v>
      </c>
      <c r="F5" s="4">
        <f>SUM((147800+161600)/2)</f>
        <v>154700</v>
      </c>
      <c r="G5" s="5">
        <f t="shared" si="0"/>
        <v>1863.8554216867469</v>
      </c>
      <c r="H5" s="4">
        <f>SUM((B5*G5)*C5)</f>
        <v>4641000</v>
      </c>
      <c r="I5" s="12">
        <f t="shared" si="2"/>
        <v>1717170</v>
      </c>
      <c r="J5" s="14">
        <f t="shared" si="3"/>
        <v>2490</v>
      </c>
      <c r="L5" s="13" t="s">
        <v>35</v>
      </c>
      <c r="M5" s="13">
        <v>36</v>
      </c>
      <c r="N5" s="13">
        <v>83</v>
      </c>
      <c r="O5" s="3" t="s">
        <v>21</v>
      </c>
      <c r="P5" s="3">
        <v>83</v>
      </c>
      <c r="Q5" s="4">
        <f>SUM((147800+161600)/2)</f>
        <v>154700</v>
      </c>
      <c r="R5" s="5">
        <f t="shared" si="4"/>
        <v>1863.8554216867469</v>
      </c>
      <c r="S5" s="4">
        <f>SUM((M5*R5)*N5)</f>
        <v>5569200</v>
      </c>
      <c r="T5" s="12">
        <f t="shared" si="6"/>
        <v>2060604</v>
      </c>
      <c r="U5" s="14">
        <f t="shared" si="7"/>
        <v>2988</v>
      </c>
      <c r="V5" s="234">
        <f t="shared" si="8"/>
        <v>174300</v>
      </c>
      <c r="W5" s="271">
        <v>665</v>
      </c>
      <c r="X5" s="271">
        <f t="shared" si="9"/>
        <v>1987020</v>
      </c>
      <c r="Y5" s="269">
        <f>SUM(U5:U9)</f>
        <v>11200</v>
      </c>
      <c r="Z5" s="37"/>
    </row>
    <row r="6" spans="1:26" x14ac:dyDescent="0.25">
      <c r="A6" s="13" t="s">
        <v>36</v>
      </c>
      <c r="B6" s="230">
        <v>16</v>
      </c>
      <c r="C6" s="13">
        <v>94</v>
      </c>
      <c r="D6" s="3" t="s">
        <v>22</v>
      </c>
      <c r="E6" s="3">
        <v>94</v>
      </c>
      <c r="F6" s="4">
        <f>SUM((164700+179400)/2)</f>
        <v>172050</v>
      </c>
      <c r="G6" s="5">
        <f t="shared" si="0"/>
        <v>1830.3191489361702</v>
      </c>
      <c r="H6" s="4">
        <f>SUM((B6*G6)*C6)</f>
        <v>2752800</v>
      </c>
      <c r="I6" s="12">
        <f t="shared" si="2"/>
        <v>1018536</v>
      </c>
      <c r="J6" s="14">
        <f t="shared" si="3"/>
        <v>1504</v>
      </c>
      <c r="L6" s="13" t="s">
        <v>36</v>
      </c>
      <c r="M6" s="13">
        <v>19</v>
      </c>
      <c r="N6" s="13">
        <v>94</v>
      </c>
      <c r="O6" s="3" t="s">
        <v>22</v>
      </c>
      <c r="P6" s="3">
        <v>94</v>
      </c>
      <c r="Q6" s="4">
        <f>SUM((164700+179400)/2)</f>
        <v>172050</v>
      </c>
      <c r="R6" s="5">
        <f t="shared" si="4"/>
        <v>1830.3191489361702</v>
      </c>
      <c r="S6" s="4">
        <f>SUM((M6*R6)*N6)</f>
        <v>3268950</v>
      </c>
      <c r="T6" s="12">
        <f t="shared" si="6"/>
        <v>1209511.5</v>
      </c>
      <c r="U6" s="14">
        <f t="shared" si="7"/>
        <v>1786</v>
      </c>
      <c r="V6" s="234">
        <f t="shared" si="8"/>
        <v>197400</v>
      </c>
      <c r="W6" s="271">
        <v>665</v>
      </c>
      <c r="X6" s="271">
        <f t="shared" si="9"/>
        <v>1187690</v>
      </c>
      <c r="Y6" s="268"/>
      <c r="Z6" s="37"/>
    </row>
    <row r="7" spans="1:26" x14ac:dyDescent="0.25">
      <c r="A7" s="13" t="s">
        <v>37</v>
      </c>
      <c r="B7" s="230">
        <v>24</v>
      </c>
      <c r="C7" s="13">
        <v>114</v>
      </c>
      <c r="D7" s="3" t="s">
        <v>10</v>
      </c>
      <c r="E7" s="3">
        <v>114</v>
      </c>
      <c r="F7" s="4">
        <v>216450</v>
      </c>
      <c r="G7" s="5">
        <f t="shared" si="0"/>
        <v>1898.6842105263158</v>
      </c>
      <c r="H7" s="4">
        <f>SUM((B7*G7)*C7)</f>
        <v>5194800</v>
      </c>
      <c r="I7" s="12">
        <f t="shared" si="2"/>
        <v>1922076</v>
      </c>
      <c r="J7" s="14">
        <f t="shared" si="3"/>
        <v>2736</v>
      </c>
      <c r="L7" s="13" t="s">
        <v>37</v>
      </c>
      <c r="M7" s="13">
        <v>29</v>
      </c>
      <c r="N7" s="13">
        <v>114</v>
      </c>
      <c r="O7" s="3" t="s">
        <v>10</v>
      </c>
      <c r="P7" s="3">
        <v>114</v>
      </c>
      <c r="Q7" s="4">
        <v>216450</v>
      </c>
      <c r="R7" s="5">
        <f t="shared" si="4"/>
        <v>1898.6842105263158</v>
      </c>
      <c r="S7" s="4">
        <f>SUM((M7*R7)*N7)</f>
        <v>6277050</v>
      </c>
      <c r="T7" s="12">
        <f t="shared" si="6"/>
        <v>2322508.5</v>
      </c>
      <c r="U7" s="14">
        <f t="shared" si="7"/>
        <v>3306</v>
      </c>
      <c r="V7" s="234">
        <f t="shared" si="8"/>
        <v>239400</v>
      </c>
      <c r="W7" s="271">
        <v>665</v>
      </c>
      <c r="X7" s="271">
        <f t="shared" si="9"/>
        <v>2198490</v>
      </c>
      <c r="Y7" s="268"/>
      <c r="Z7" s="37"/>
    </row>
    <row r="8" spans="1:26" s="141" customFormat="1" x14ac:dyDescent="0.25">
      <c r="A8" s="230" t="s">
        <v>38</v>
      </c>
      <c r="B8" s="230">
        <v>30</v>
      </c>
      <c r="C8" s="230">
        <v>57</v>
      </c>
      <c r="D8" s="231" t="s">
        <v>95</v>
      </c>
      <c r="E8" s="231" t="s">
        <v>95</v>
      </c>
      <c r="F8" s="123">
        <f>SUM(2100*C8)</f>
        <v>119700</v>
      </c>
      <c r="G8" s="122" t="s">
        <v>95</v>
      </c>
      <c r="H8" s="123">
        <f>SUM(B8*F8)</f>
        <v>3591000</v>
      </c>
      <c r="I8" s="232">
        <f>SUM(H8*0.5)</f>
        <v>1795500</v>
      </c>
      <c r="J8" s="121">
        <f t="shared" si="3"/>
        <v>1710</v>
      </c>
      <c r="L8" s="230" t="s">
        <v>39</v>
      </c>
      <c r="M8" s="230">
        <v>32</v>
      </c>
      <c r="N8" s="230">
        <v>60</v>
      </c>
      <c r="O8" s="231" t="s">
        <v>95</v>
      </c>
      <c r="P8" s="231" t="s">
        <v>95</v>
      </c>
      <c r="Q8" s="123">
        <f>SUM(2100*N8)</f>
        <v>126000</v>
      </c>
      <c r="R8" s="122" t="s">
        <v>95</v>
      </c>
      <c r="S8" s="123">
        <f t="shared" ref="S8:S9" si="10">SUM(M8*Q8)</f>
        <v>4032000</v>
      </c>
      <c r="T8" s="232">
        <f t="shared" ref="T8:T9" si="11">SUM(S8*0.5)</f>
        <v>2016000</v>
      </c>
      <c r="U8" s="121">
        <f t="shared" si="7"/>
        <v>1920</v>
      </c>
      <c r="V8" s="234">
        <f t="shared" si="8"/>
        <v>126000</v>
      </c>
      <c r="W8" s="271">
        <v>665</v>
      </c>
      <c r="X8" s="271">
        <f t="shared" si="9"/>
        <v>1276800</v>
      </c>
      <c r="Y8" s="270"/>
      <c r="Z8" s="275"/>
    </row>
    <row r="9" spans="1:26" x14ac:dyDescent="0.25">
      <c r="A9" s="13" t="s">
        <v>39</v>
      </c>
      <c r="B9" s="230">
        <v>30</v>
      </c>
      <c r="C9" s="13">
        <v>60</v>
      </c>
      <c r="D9" s="3" t="s">
        <v>95</v>
      </c>
      <c r="E9" s="3" t="s">
        <v>95</v>
      </c>
      <c r="F9" s="123">
        <f t="shared" ref="F9:F10" si="12">SUM(2100*C9)</f>
        <v>126000</v>
      </c>
      <c r="G9" s="5" t="s">
        <v>95</v>
      </c>
      <c r="H9" s="4">
        <f t="shared" ref="H9:H10" si="13">SUM(B9*F9)</f>
        <v>3780000</v>
      </c>
      <c r="I9" s="12">
        <f t="shared" ref="I9:I10" si="14">SUM(H9*0.5)</f>
        <v>1890000</v>
      </c>
      <c r="J9" s="14">
        <f t="shared" si="3"/>
        <v>1800</v>
      </c>
      <c r="L9" s="13" t="s">
        <v>40</v>
      </c>
      <c r="M9" s="13">
        <v>16</v>
      </c>
      <c r="N9" s="13">
        <v>75</v>
      </c>
      <c r="O9" s="3" t="s">
        <v>95</v>
      </c>
      <c r="P9" s="3" t="s">
        <v>95</v>
      </c>
      <c r="Q9" s="123">
        <f>SUM(2100*N9)</f>
        <v>157500</v>
      </c>
      <c r="R9" s="5" t="s">
        <v>95</v>
      </c>
      <c r="S9" s="4">
        <f t="shared" si="10"/>
        <v>2520000</v>
      </c>
      <c r="T9" s="12">
        <f t="shared" si="11"/>
        <v>1260000</v>
      </c>
      <c r="U9" s="14">
        <f t="shared" si="7"/>
        <v>1200</v>
      </c>
      <c r="V9" s="234">
        <f t="shared" si="8"/>
        <v>157500</v>
      </c>
      <c r="W9" s="271">
        <v>665</v>
      </c>
      <c r="X9" s="271">
        <f>SUM(U9*W9)</f>
        <v>798000</v>
      </c>
      <c r="Y9" s="268"/>
      <c r="Z9" s="37"/>
    </row>
    <row r="10" spans="1:26" ht="15.75" x14ac:dyDescent="0.25">
      <c r="A10" s="13" t="s">
        <v>40</v>
      </c>
      <c r="B10" s="230">
        <v>20</v>
      </c>
      <c r="C10" s="13">
        <v>75</v>
      </c>
      <c r="D10" s="3" t="s">
        <v>95</v>
      </c>
      <c r="E10" s="3" t="s">
        <v>95</v>
      </c>
      <c r="F10" s="123">
        <f t="shared" si="12"/>
        <v>157500</v>
      </c>
      <c r="G10" s="5" t="s">
        <v>95</v>
      </c>
      <c r="H10" s="4">
        <f t="shared" si="13"/>
        <v>3150000</v>
      </c>
      <c r="I10" s="12">
        <f t="shared" si="14"/>
        <v>1575000</v>
      </c>
      <c r="J10" s="14">
        <f t="shared" si="3"/>
        <v>1500</v>
      </c>
      <c r="L10" s="24" t="s">
        <v>3</v>
      </c>
      <c r="M10" s="17">
        <f>SUM(M3:M9)</f>
        <v>240</v>
      </c>
      <c r="N10" s="3"/>
      <c r="O10" s="7"/>
      <c r="P10" s="3"/>
      <c r="Q10" s="3"/>
      <c r="R10" s="24" t="s">
        <v>8</v>
      </c>
      <c r="S10" s="33">
        <f>SUM(S3:S9)</f>
        <v>34442262.932940304</v>
      </c>
      <c r="T10" s="115">
        <f>SUM(T3:T9)</f>
        <v>13595397.285187915</v>
      </c>
      <c r="U10" s="15">
        <f>SUM(U3:U9)</f>
        <v>17212</v>
      </c>
      <c r="X10" s="272">
        <f>SUM(X3:X9)</f>
        <v>11445980</v>
      </c>
      <c r="Z10" s="37"/>
    </row>
    <row r="11" spans="1:26" ht="15.75" x14ac:dyDescent="0.25">
      <c r="A11" s="24" t="s">
        <v>3</v>
      </c>
      <c r="B11" s="17">
        <f>SUM(B3:B10)</f>
        <v>240</v>
      </c>
      <c r="C11" s="3"/>
      <c r="D11" s="7"/>
      <c r="E11" s="3"/>
      <c r="F11" s="3"/>
      <c r="G11" s="24" t="s">
        <v>8</v>
      </c>
      <c r="H11" s="33">
        <f>SUM(H3:H10)</f>
        <v>33755485.777450256</v>
      </c>
      <c r="I11" s="115">
        <f>SUM(I3:I10)</f>
        <v>13857259.737656595</v>
      </c>
      <c r="J11" s="15">
        <f>SUM(J3:J10)</f>
        <v>16750</v>
      </c>
    </row>
    <row r="12" spans="1:26" ht="15" customHeight="1" x14ac:dyDescent="0.25">
      <c r="L12" t="s">
        <v>204</v>
      </c>
      <c r="M12" s="29">
        <f>1200*0.2</f>
        <v>240</v>
      </c>
      <c r="N12" t="s">
        <v>187</v>
      </c>
    </row>
    <row r="13" spans="1:26" x14ac:dyDescent="0.25">
      <c r="A13" s="16" t="s">
        <v>44</v>
      </c>
      <c r="L13" t="s">
        <v>205</v>
      </c>
      <c r="M13" s="29">
        <f>240*0.8</f>
        <v>192</v>
      </c>
      <c r="N13" t="s">
        <v>187</v>
      </c>
    </row>
    <row r="14" spans="1:26" x14ac:dyDescent="0.25">
      <c r="A14" t="s">
        <v>344</v>
      </c>
      <c r="L14" t="s">
        <v>206</v>
      </c>
      <c r="M14" s="29">
        <f>240*0.2</f>
        <v>48</v>
      </c>
      <c r="N14" t="s">
        <v>187</v>
      </c>
    </row>
    <row r="15" spans="1:26" x14ac:dyDescent="0.25">
      <c r="A15" t="s">
        <v>45</v>
      </c>
    </row>
    <row r="16" spans="1:26" x14ac:dyDescent="0.25">
      <c r="A16" t="s">
        <v>46</v>
      </c>
      <c r="L16" s="35" t="s">
        <v>214</v>
      </c>
      <c r="M16" s="36">
        <f>SUM(108*879)</f>
        <v>94932</v>
      </c>
      <c r="N16" s="20"/>
      <c r="O16" s="276"/>
      <c r="Q16" s="131"/>
    </row>
    <row r="17" spans="1:21" x14ac:dyDescent="0.25">
      <c r="A17" t="s">
        <v>47</v>
      </c>
      <c r="L17" s="35" t="s">
        <v>215</v>
      </c>
      <c r="M17" s="36">
        <f>SUM(1092*3075)</f>
        <v>3357900</v>
      </c>
      <c r="N17" s="20"/>
      <c r="O17" s="16"/>
      <c r="Q17" s="131"/>
    </row>
    <row r="18" spans="1:21" ht="15.75" x14ac:dyDescent="0.25">
      <c r="M18" s="233">
        <f>SUM(M16:M17)</f>
        <v>3452832</v>
      </c>
    </row>
    <row r="19" spans="1:21" x14ac:dyDescent="0.25">
      <c r="A19" s="16" t="s">
        <v>70</v>
      </c>
    </row>
    <row r="20" spans="1:21" ht="7.5" customHeight="1" x14ac:dyDescent="0.25"/>
    <row r="21" spans="1:21" x14ac:dyDescent="0.25">
      <c r="A21" s="16" t="s">
        <v>49</v>
      </c>
      <c r="O21" s="133"/>
      <c r="P21" s="133"/>
      <c r="Q21" s="133"/>
      <c r="R21" s="133"/>
      <c r="S21" s="133"/>
      <c r="T21" s="133"/>
      <c r="U21" s="133"/>
    </row>
    <row r="22" spans="1:21" ht="30" x14ac:dyDescent="0.25">
      <c r="A22" s="18" t="s">
        <v>0</v>
      </c>
      <c r="B22" s="26" t="s">
        <v>53</v>
      </c>
      <c r="C22" s="26" t="s">
        <v>54</v>
      </c>
      <c r="D22" s="17" t="s">
        <v>55</v>
      </c>
      <c r="E22" s="18" t="s">
        <v>304</v>
      </c>
      <c r="F22" s="294" t="s">
        <v>338</v>
      </c>
      <c r="M22" s="29" t="s">
        <v>57</v>
      </c>
      <c r="N22" s="263" t="s">
        <v>335</v>
      </c>
      <c r="O22" s="134" t="s">
        <v>134</v>
      </c>
      <c r="P22" s="134" t="s">
        <v>334</v>
      </c>
      <c r="R22" s="133"/>
      <c r="S22" s="134"/>
      <c r="T22" s="133"/>
      <c r="U22" s="133"/>
    </row>
    <row r="23" spans="1:21" x14ac:dyDescent="0.25">
      <c r="A23" s="13" t="s">
        <v>50</v>
      </c>
      <c r="B23" s="13">
        <v>40</v>
      </c>
      <c r="C23" s="13">
        <v>75.02</v>
      </c>
      <c r="D23" s="19">
        <f>SUM(B23*C23)</f>
        <v>3000.7999999999997</v>
      </c>
      <c r="E23" s="234">
        <f>SUM(2100*C23)</f>
        <v>157542</v>
      </c>
      <c r="F23" s="295">
        <v>634.44000000000005</v>
      </c>
      <c r="L23" s="277" t="s">
        <v>331</v>
      </c>
      <c r="M23" s="264">
        <v>78671473.170000002</v>
      </c>
      <c r="N23" s="265">
        <f>SUM(M23*1.0239334)</f>
        <v>80554349.005966872</v>
      </c>
      <c r="O23" s="262">
        <f>D32</f>
        <v>118008.88999999998</v>
      </c>
      <c r="P23" s="280">
        <f>SUM(N23/O23)</f>
        <v>682.6125472917073</v>
      </c>
      <c r="R23" s="133"/>
      <c r="S23" s="134"/>
      <c r="T23" s="133"/>
      <c r="U23" s="133"/>
    </row>
    <row r="24" spans="1:21" x14ac:dyDescent="0.25">
      <c r="A24" s="13" t="s">
        <v>50</v>
      </c>
      <c r="B24" s="13">
        <v>90</v>
      </c>
      <c r="C24" s="13">
        <v>88.02</v>
      </c>
      <c r="D24" s="19">
        <f t="shared" ref="D24:D31" si="15">SUM(B24*C24)</f>
        <v>7921.7999999999993</v>
      </c>
      <c r="E24" s="234">
        <f t="shared" ref="E24:E31" si="16">SUM(2100*C24)</f>
        <v>184842</v>
      </c>
      <c r="F24" s="295">
        <v>634.44000000000005</v>
      </c>
      <c r="L24" s="277" t="s">
        <v>332</v>
      </c>
      <c r="M24" s="20">
        <f>SUM(X5:X9)</f>
        <v>7448000</v>
      </c>
      <c r="N24" s="265">
        <f>SUM(M24*1.0239334)</f>
        <v>7626255.9632000001</v>
      </c>
      <c r="O24" s="262">
        <f>Y5</f>
        <v>11200</v>
      </c>
      <c r="P24" s="280">
        <f t="shared" ref="P24:P26" si="17">SUM(N24/O24)</f>
        <v>680.91571099999999</v>
      </c>
      <c r="R24" s="133"/>
      <c r="S24" s="134"/>
      <c r="T24" s="133"/>
      <c r="U24" s="133"/>
    </row>
    <row r="25" spans="1:21" x14ac:dyDescent="0.25">
      <c r="A25" s="13" t="s">
        <v>50</v>
      </c>
      <c r="B25" s="13">
        <v>160</v>
      </c>
      <c r="C25" s="13">
        <v>91.09</v>
      </c>
      <c r="D25" s="19">
        <f t="shared" si="15"/>
        <v>14574.400000000001</v>
      </c>
      <c r="E25" s="234">
        <f t="shared" si="16"/>
        <v>191289</v>
      </c>
      <c r="F25" s="295">
        <v>634.44000000000005</v>
      </c>
      <c r="L25" s="277" t="s">
        <v>330</v>
      </c>
      <c r="M25" s="273">
        <f>SUM(X3:X4)</f>
        <v>3997980</v>
      </c>
      <c r="N25" s="274">
        <f>SUM(M25*1.0239334)</f>
        <v>4093665.254532</v>
      </c>
      <c r="O25" s="262">
        <f>Y3</f>
        <v>6012</v>
      </c>
      <c r="P25" s="280">
        <f t="shared" si="17"/>
        <v>680.91571099999999</v>
      </c>
      <c r="R25" s="133"/>
      <c r="S25" s="134"/>
      <c r="T25" s="133"/>
      <c r="U25" s="133"/>
    </row>
    <row r="26" spans="1:21" x14ac:dyDescent="0.25">
      <c r="A26" s="13" t="s">
        <v>50</v>
      </c>
      <c r="B26" s="13">
        <v>100</v>
      </c>
      <c r="C26" s="13">
        <v>86.44</v>
      </c>
      <c r="D26" s="19">
        <f t="shared" si="15"/>
        <v>8644</v>
      </c>
      <c r="E26" s="234">
        <f t="shared" si="16"/>
        <v>181524</v>
      </c>
      <c r="F26" s="295">
        <v>634.44000000000005</v>
      </c>
      <c r="M26" s="29"/>
      <c r="N26" s="278">
        <f>SUM(N23:N25)</f>
        <v>92274270.223698869</v>
      </c>
      <c r="O26" s="279">
        <f>SUM(O23:O25)</f>
        <v>135220.88999999998</v>
      </c>
      <c r="P26" s="281">
        <f t="shared" si="17"/>
        <v>682.39656035172436</v>
      </c>
      <c r="R26" s="133"/>
      <c r="S26" s="134"/>
      <c r="T26" s="133"/>
      <c r="U26" s="133"/>
    </row>
    <row r="27" spans="1:21" x14ac:dyDescent="0.25">
      <c r="A27" s="13" t="s">
        <v>51</v>
      </c>
      <c r="B27" s="13">
        <v>140</v>
      </c>
      <c r="C27" s="13">
        <v>115.97</v>
      </c>
      <c r="D27" s="19">
        <f t="shared" si="15"/>
        <v>16235.8</v>
      </c>
      <c r="E27" s="234">
        <f t="shared" si="16"/>
        <v>243537</v>
      </c>
      <c r="F27" s="295">
        <v>682.22</v>
      </c>
      <c r="O27" s="133"/>
      <c r="P27" s="133"/>
      <c r="Q27" s="133"/>
      <c r="R27" s="133"/>
      <c r="S27" s="133"/>
      <c r="T27" s="133"/>
      <c r="U27" s="133"/>
    </row>
    <row r="28" spans="1:21" x14ac:dyDescent="0.25">
      <c r="A28" s="13" t="s">
        <v>51</v>
      </c>
      <c r="B28" s="13">
        <v>118</v>
      </c>
      <c r="C28" s="13">
        <v>127.11</v>
      </c>
      <c r="D28" s="19">
        <f t="shared" si="15"/>
        <v>14998.98</v>
      </c>
      <c r="E28" s="234">
        <f t="shared" si="16"/>
        <v>266931</v>
      </c>
      <c r="F28" s="295">
        <v>680</v>
      </c>
      <c r="O28" s="133"/>
      <c r="P28" s="133"/>
      <c r="Q28" s="133"/>
      <c r="R28" s="133"/>
      <c r="S28" s="133"/>
      <c r="T28" s="133"/>
      <c r="U28" s="133"/>
    </row>
    <row r="29" spans="1:21" x14ac:dyDescent="0.25">
      <c r="A29" s="13" t="s">
        <v>51</v>
      </c>
      <c r="B29" s="13">
        <v>177</v>
      </c>
      <c r="C29" s="13">
        <v>155.06</v>
      </c>
      <c r="D29" s="19">
        <f t="shared" si="15"/>
        <v>27445.62</v>
      </c>
      <c r="E29" s="234">
        <f t="shared" si="16"/>
        <v>325626</v>
      </c>
      <c r="F29" s="295">
        <v>667.78</v>
      </c>
    </row>
    <row r="30" spans="1:21" x14ac:dyDescent="0.25">
      <c r="A30" s="13" t="s">
        <v>51</v>
      </c>
      <c r="B30" s="13">
        <v>81</v>
      </c>
      <c r="C30" s="13">
        <v>186.91</v>
      </c>
      <c r="D30" s="19">
        <f t="shared" si="15"/>
        <v>15139.71</v>
      </c>
      <c r="E30" s="234">
        <f t="shared" si="16"/>
        <v>392511</v>
      </c>
      <c r="F30" s="295">
        <v>691.11</v>
      </c>
    </row>
    <row r="31" spans="1:21" x14ac:dyDescent="0.25">
      <c r="A31" s="13" t="s">
        <v>52</v>
      </c>
      <c r="B31" s="13">
        <v>54</v>
      </c>
      <c r="C31" s="13">
        <v>186.07</v>
      </c>
      <c r="D31" s="19">
        <f t="shared" si="15"/>
        <v>10047.779999999999</v>
      </c>
      <c r="E31" s="234">
        <f t="shared" si="16"/>
        <v>390747</v>
      </c>
      <c r="F31" s="295">
        <v>691.11</v>
      </c>
    </row>
    <row r="32" spans="1:21" x14ac:dyDescent="0.25">
      <c r="A32" s="23" t="s">
        <v>3</v>
      </c>
      <c r="B32" s="18">
        <f>SUM(B23:B31)</f>
        <v>960</v>
      </c>
      <c r="C32" s="18"/>
      <c r="D32" s="15">
        <f>SUM(D23:D31)</f>
        <v>118008.88999999998</v>
      </c>
    </row>
    <row r="33" spans="1:17" ht="7.5" customHeight="1" x14ac:dyDescent="0.25"/>
    <row r="34" spans="1:17" x14ac:dyDescent="0.25">
      <c r="A34" s="16" t="s">
        <v>307</v>
      </c>
      <c r="B34" s="29" t="s">
        <v>337</v>
      </c>
      <c r="C34" t="s">
        <v>345</v>
      </c>
      <c r="H34" t="s">
        <v>329</v>
      </c>
      <c r="J34" s="20">
        <f>SUM(B35+B36+C37+C38)</f>
        <v>95727102.223698869</v>
      </c>
      <c r="K34" s="260">
        <f>SUM(J34/135045)</f>
        <v>708.85336164759053</v>
      </c>
      <c r="L34" t="s">
        <v>134</v>
      </c>
    </row>
    <row r="35" spans="1:17" ht="15.75" x14ac:dyDescent="0.25">
      <c r="A35" s="240" t="s">
        <v>214</v>
      </c>
      <c r="B35" s="239">
        <f>SUM(108*879)</f>
        <v>94932</v>
      </c>
      <c r="D35" s="261">
        <f>SUM(B35:B36)</f>
        <v>3452832</v>
      </c>
      <c r="E35" t="s">
        <v>138</v>
      </c>
    </row>
    <row r="36" spans="1:17" x14ac:dyDescent="0.25">
      <c r="A36" s="240" t="s">
        <v>215</v>
      </c>
      <c r="B36" s="239">
        <f>SUM(1092*3075)</f>
        <v>3357900</v>
      </c>
      <c r="C36" s="255" t="s">
        <v>308</v>
      </c>
    </row>
    <row r="37" spans="1:17" x14ac:dyDescent="0.25">
      <c r="A37" s="237" t="s">
        <v>331</v>
      </c>
      <c r="B37" s="236">
        <v>78671473.170000002</v>
      </c>
      <c r="C37" s="256">
        <f>SUM(B37*1.0239334)</f>
        <v>80554349.005966872</v>
      </c>
      <c r="E37" s="259"/>
    </row>
    <row r="38" spans="1:17" x14ac:dyDescent="0.25">
      <c r="A38" s="237" t="s">
        <v>333</v>
      </c>
      <c r="B38" s="236">
        <v>11445980</v>
      </c>
      <c r="C38" s="256">
        <f t="shared" ref="C38:C40" si="18">SUM(B38*1.0239334)</f>
        <v>11719921.217731999</v>
      </c>
      <c r="D38" s="35" t="s">
        <v>340</v>
      </c>
      <c r="E38" s="35"/>
      <c r="F38" s="35"/>
      <c r="G38" s="35"/>
      <c r="H38" s="242">
        <f>SUM(B35+B36+C37+C38+C39+C40)</f>
        <v>128885342.30257887</v>
      </c>
      <c r="N38" s="20"/>
      <c r="O38" s="37"/>
      <c r="P38" s="266"/>
      <c r="Q38" s="282"/>
    </row>
    <row r="39" spans="1:17" ht="15" customHeight="1" x14ac:dyDescent="0.25">
      <c r="A39" s="235" t="s">
        <v>305</v>
      </c>
      <c r="B39" s="236">
        <v>23826000</v>
      </c>
      <c r="C39" s="256">
        <f t="shared" si="18"/>
        <v>24396237.1884</v>
      </c>
      <c r="D39" s="238" t="s">
        <v>341</v>
      </c>
      <c r="E39" s="241">
        <f>SUM(H38/135221)</f>
        <v>953.1459041315984</v>
      </c>
      <c r="F39" s="99" t="s">
        <v>258</v>
      </c>
      <c r="G39" s="35"/>
      <c r="N39" s="28"/>
    </row>
    <row r="40" spans="1:17" x14ac:dyDescent="0.25">
      <c r="A40" s="235" t="s">
        <v>306</v>
      </c>
      <c r="B40" s="236">
        <v>8557200</v>
      </c>
      <c r="C40" s="256">
        <f t="shared" si="18"/>
        <v>8762002.8904800005</v>
      </c>
      <c r="I40" s="259"/>
      <c r="J40" s="259"/>
      <c r="K40" s="20"/>
    </row>
    <row r="41" spans="1:17" ht="17.25" x14ac:dyDescent="0.25">
      <c r="A41" s="16" t="s">
        <v>326</v>
      </c>
      <c r="B41" s="236"/>
      <c r="D41" t="s">
        <v>325</v>
      </c>
      <c r="I41" s="284"/>
      <c r="J41" s="88"/>
      <c r="N41" s="244"/>
      <c r="O41" s="37"/>
      <c r="P41" s="283"/>
      <c r="Q41" s="259"/>
    </row>
    <row r="42" spans="1:17" x14ac:dyDescent="0.25">
      <c r="A42" t="s">
        <v>100</v>
      </c>
      <c r="B42" s="20">
        <v>14349018</v>
      </c>
    </row>
    <row r="43" spans="1:17" x14ac:dyDescent="0.25">
      <c r="A43" t="s">
        <v>58</v>
      </c>
      <c r="B43" s="20">
        <v>518240</v>
      </c>
    </row>
    <row r="44" spans="1:17" x14ac:dyDescent="0.25">
      <c r="A44" t="s">
        <v>59</v>
      </c>
      <c r="B44" s="20">
        <v>1576572</v>
      </c>
      <c r="E44" s="244"/>
    </row>
    <row r="45" spans="1:17" x14ac:dyDescent="0.25">
      <c r="A45" t="s">
        <v>60</v>
      </c>
      <c r="B45" s="20">
        <v>3163842</v>
      </c>
    </row>
    <row r="46" spans="1:17" x14ac:dyDescent="0.25">
      <c r="A46" t="s">
        <v>61</v>
      </c>
      <c r="B46" s="20">
        <v>246547</v>
      </c>
    </row>
    <row r="47" spans="1:17" x14ac:dyDescent="0.25">
      <c r="A47" s="22" t="s">
        <v>8</v>
      </c>
      <c r="B47" s="30">
        <f>SUM(B42:B46)</f>
        <v>19854219</v>
      </c>
      <c r="D47" s="243"/>
      <c r="E47" s="244"/>
      <c r="F47" s="54"/>
      <c r="H47" s="54"/>
      <c r="I47" s="53"/>
    </row>
    <row r="48" spans="1:17" ht="7.5" customHeight="1" x14ac:dyDescent="0.25">
      <c r="A48" s="22"/>
      <c r="B48" s="28"/>
    </row>
    <row r="49" spans="1:2" x14ac:dyDescent="0.25">
      <c r="A49" s="16" t="s">
        <v>62</v>
      </c>
    </row>
    <row r="50" spans="1:2" x14ac:dyDescent="0.25">
      <c r="A50" t="s">
        <v>63</v>
      </c>
      <c r="B50" s="20">
        <v>2554500</v>
      </c>
    </row>
    <row r="51" spans="1:2" x14ac:dyDescent="0.25">
      <c r="A51" t="s">
        <v>64</v>
      </c>
      <c r="B51" s="20">
        <v>72500</v>
      </c>
    </row>
    <row r="52" spans="1:2" x14ac:dyDescent="0.25">
      <c r="A52" t="s">
        <v>65</v>
      </c>
      <c r="B52" s="20">
        <v>765000</v>
      </c>
    </row>
    <row r="53" spans="1:2" x14ac:dyDescent="0.25">
      <c r="A53" t="s">
        <v>66</v>
      </c>
      <c r="B53" s="20">
        <v>400000</v>
      </c>
    </row>
    <row r="54" spans="1:2" x14ac:dyDescent="0.25">
      <c r="A54" t="s">
        <v>67</v>
      </c>
      <c r="B54" s="20">
        <v>15000</v>
      </c>
    </row>
    <row r="55" spans="1:2" x14ac:dyDescent="0.25">
      <c r="A55" t="s">
        <v>68</v>
      </c>
      <c r="B55" s="20">
        <v>175000</v>
      </c>
    </row>
    <row r="56" spans="1:2" x14ac:dyDescent="0.25">
      <c r="A56" s="22" t="s">
        <v>8</v>
      </c>
      <c r="B56" s="31">
        <f>SUM(B50:B55)</f>
        <v>3982000</v>
      </c>
    </row>
    <row r="57" spans="1:2" x14ac:dyDescent="0.25">
      <c r="A57" s="22" t="s">
        <v>69</v>
      </c>
      <c r="B57" s="32">
        <f>SUM(B56/1200)</f>
        <v>3318.3333333333335</v>
      </c>
    </row>
  </sheetData>
  <sheetProtection selectLockedCells="1"/>
  <pageMargins left="0.7" right="0.7" top="0.75" bottom="0.75" header="0.3" footer="0.3"/>
  <pageSetup paperSize="9" orientation="portrait" r:id="rId1"/>
  <ignoredErrors>
    <ignoredError sqref="F4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topLeftCell="D1" workbookViewId="0">
      <selection activeCell="P32" sqref="P32"/>
    </sheetView>
  </sheetViews>
  <sheetFormatPr defaultRowHeight="15" x14ac:dyDescent="0.25"/>
  <cols>
    <col min="1" max="1" width="4.28515625" customWidth="1"/>
    <col min="2" max="2" width="27.28515625" bestFit="1" customWidth="1"/>
    <col min="3" max="3" width="6.5703125" bestFit="1" customWidth="1"/>
    <col min="4" max="4" width="7" bestFit="1" customWidth="1"/>
    <col min="5" max="5" width="5.28515625" customWidth="1"/>
    <col min="6" max="6" width="43" customWidth="1"/>
    <col min="7" max="7" width="10.140625" bestFit="1" customWidth="1"/>
    <col min="8" max="8" width="6.85546875" customWidth="1"/>
    <col min="9" max="9" width="11" customWidth="1"/>
    <col min="10" max="10" width="10.7109375" customWidth="1"/>
    <col min="11" max="11" width="10.5703125" customWidth="1"/>
    <col min="12" max="12" width="11.140625" customWidth="1"/>
    <col min="13" max="13" width="12.140625" bestFit="1" customWidth="1"/>
    <col min="14" max="14" width="8.5703125" bestFit="1" customWidth="1"/>
    <col min="15" max="15" width="8.7109375" customWidth="1"/>
    <col min="16" max="16" width="7.7109375" bestFit="1" customWidth="1"/>
    <col min="17" max="18" width="8.5703125" customWidth="1"/>
  </cols>
  <sheetData>
    <row r="1" spans="2:18" x14ac:dyDescent="0.25">
      <c r="C1" s="135" t="s">
        <v>263</v>
      </c>
      <c r="D1" s="168" t="s">
        <v>264</v>
      </c>
      <c r="F1" s="16" t="s">
        <v>231</v>
      </c>
    </row>
    <row r="2" spans="2:18" ht="33" customHeight="1" x14ac:dyDescent="0.25">
      <c r="B2" t="s">
        <v>199</v>
      </c>
      <c r="C2" s="29">
        <f>350*0.3</f>
        <v>105</v>
      </c>
      <c r="F2" s="2" t="s">
        <v>0</v>
      </c>
      <c r="G2" s="2" t="s">
        <v>53</v>
      </c>
      <c r="H2" s="2" t="s">
        <v>161</v>
      </c>
      <c r="I2" s="2" t="s">
        <v>174</v>
      </c>
      <c r="J2" s="2" t="s">
        <v>234</v>
      </c>
      <c r="K2" s="69" t="s">
        <v>159</v>
      </c>
      <c r="L2" s="2" t="s">
        <v>173</v>
      </c>
      <c r="M2" s="2" t="s">
        <v>172</v>
      </c>
      <c r="N2" s="9" t="s">
        <v>32</v>
      </c>
      <c r="O2" s="9" t="s">
        <v>160</v>
      </c>
      <c r="P2" s="9" t="s">
        <v>192</v>
      </c>
      <c r="Q2" s="9" t="s">
        <v>233</v>
      </c>
      <c r="R2" s="112"/>
    </row>
    <row r="3" spans="2:18" x14ac:dyDescent="0.25">
      <c r="B3" t="s">
        <v>200</v>
      </c>
      <c r="C3" s="29">
        <f>105*0.8</f>
        <v>84</v>
      </c>
      <c r="D3" s="16">
        <f>C3</f>
        <v>84</v>
      </c>
      <c r="F3" s="113" t="s">
        <v>162</v>
      </c>
      <c r="G3" s="59">
        <v>16</v>
      </c>
      <c r="H3" s="81">
        <v>67</v>
      </c>
      <c r="I3" s="83"/>
      <c r="J3" s="143">
        <f>SUM(H3*2100)</f>
        <v>140700</v>
      </c>
      <c r="K3" s="144">
        <f t="shared" ref="K3:K9" si="0">SUM(J3*G3)</f>
        <v>2251200</v>
      </c>
      <c r="L3" s="145">
        <f>SUM(K3*0.5)</f>
        <v>1125600</v>
      </c>
      <c r="M3" s="61"/>
      <c r="N3" s="146">
        <f t="shared" ref="N3:N16" si="1">SUM(G3*H3)</f>
        <v>1072</v>
      </c>
      <c r="O3" s="7"/>
      <c r="P3" s="7"/>
      <c r="Q3" s="142">
        <f>SUM(H3*2100)</f>
        <v>140700</v>
      </c>
      <c r="R3" s="156"/>
    </row>
    <row r="4" spans="2:18" x14ac:dyDescent="0.25">
      <c r="B4" t="s">
        <v>201</v>
      </c>
      <c r="C4" s="29">
        <f>105*0.2</f>
        <v>21</v>
      </c>
      <c r="D4" s="16">
        <f>C4</f>
        <v>21</v>
      </c>
      <c r="F4" s="113" t="s">
        <v>163</v>
      </c>
      <c r="G4" s="59">
        <v>5</v>
      </c>
      <c r="H4" s="81">
        <v>78</v>
      </c>
      <c r="I4" s="83"/>
      <c r="J4" s="143">
        <f>SUM(H4*2100)</f>
        <v>163800</v>
      </c>
      <c r="K4" s="144">
        <f t="shared" si="0"/>
        <v>819000</v>
      </c>
      <c r="L4" s="145">
        <f>SUM(K4*0.5)</f>
        <v>409500</v>
      </c>
      <c r="M4" s="61"/>
      <c r="N4" s="146">
        <f t="shared" si="1"/>
        <v>390</v>
      </c>
      <c r="O4" s="7"/>
      <c r="P4" s="7"/>
      <c r="Q4" s="142">
        <f t="shared" ref="Q4:Q16" si="2">SUM(H4*2100)</f>
        <v>163800</v>
      </c>
      <c r="R4" s="156"/>
    </row>
    <row r="5" spans="2:18" x14ac:dyDescent="0.25">
      <c r="B5" s="147" t="s">
        <v>309</v>
      </c>
      <c r="F5" s="58" t="s">
        <v>164</v>
      </c>
      <c r="G5" s="59">
        <v>26</v>
      </c>
      <c r="H5" s="59">
        <v>46</v>
      </c>
      <c r="I5" s="59" t="s">
        <v>145</v>
      </c>
      <c r="J5" s="119">
        <v>95800</v>
      </c>
      <c r="K5" s="63">
        <f t="shared" si="0"/>
        <v>2490800</v>
      </c>
      <c r="L5" s="61"/>
      <c r="M5" s="67">
        <f t="shared" ref="M5:M6" si="3">SUM(K5*0.37)</f>
        <v>921596</v>
      </c>
      <c r="N5" s="146">
        <f t="shared" si="1"/>
        <v>1196</v>
      </c>
      <c r="O5" s="7"/>
      <c r="P5" s="7"/>
      <c r="Q5" s="142">
        <f t="shared" si="2"/>
        <v>96600</v>
      </c>
      <c r="R5" s="156"/>
    </row>
    <row r="6" spans="2:18" x14ac:dyDescent="0.25">
      <c r="F6" s="58" t="s">
        <v>165</v>
      </c>
      <c r="G6" s="59">
        <v>12</v>
      </c>
      <c r="H6" s="59">
        <v>59</v>
      </c>
      <c r="I6" s="59" t="s">
        <v>156</v>
      </c>
      <c r="J6" s="119">
        <v>119700</v>
      </c>
      <c r="K6" s="63">
        <f t="shared" si="0"/>
        <v>1436400</v>
      </c>
      <c r="L6" s="61"/>
      <c r="M6" s="67">
        <f t="shared" si="3"/>
        <v>531468</v>
      </c>
      <c r="N6" s="146">
        <f t="shared" si="1"/>
        <v>708</v>
      </c>
      <c r="O6" s="7"/>
      <c r="P6" s="7"/>
      <c r="Q6" s="142">
        <f t="shared" si="2"/>
        <v>123900</v>
      </c>
      <c r="R6" s="156"/>
    </row>
    <row r="7" spans="2:18" x14ac:dyDescent="0.25">
      <c r="B7" t="s">
        <v>310</v>
      </c>
      <c r="D7" s="37">
        <f>SUM(350/8.5)</f>
        <v>41.176470588235297</v>
      </c>
      <c r="F7" s="113" t="s">
        <v>168</v>
      </c>
      <c r="G7" s="59">
        <v>26</v>
      </c>
      <c r="H7" s="59">
        <v>83</v>
      </c>
      <c r="I7" s="59" t="s">
        <v>140</v>
      </c>
      <c r="J7" s="124">
        <v>147800</v>
      </c>
      <c r="K7" s="63">
        <f t="shared" si="0"/>
        <v>3842800</v>
      </c>
      <c r="L7" s="61"/>
      <c r="M7" s="67">
        <f>SUM(K7*0.37)</f>
        <v>1421836</v>
      </c>
      <c r="N7" s="146">
        <f t="shared" si="1"/>
        <v>2158</v>
      </c>
      <c r="O7" s="7"/>
      <c r="P7" s="7"/>
      <c r="Q7" s="142">
        <f t="shared" si="2"/>
        <v>174300</v>
      </c>
      <c r="R7" s="156"/>
    </row>
    <row r="8" spans="2:18" x14ac:dyDescent="0.25">
      <c r="F8" s="113" t="s">
        <v>167</v>
      </c>
      <c r="G8" s="59">
        <v>16</v>
      </c>
      <c r="H8" s="59">
        <v>88</v>
      </c>
      <c r="I8" s="59" t="s">
        <v>228</v>
      </c>
      <c r="J8" s="124">
        <v>154200</v>
      </c>
      <c r="K8" s="63">
        <f t="shared" si="0"/>
        <v>2467200</v>
      </c>
      <c r="L8" s="61"/>
      <c r="M8" s="67">
        <f t="shared" ref="M8:M9" si="4">SUM(K8*0.37)</f>
        <v>912864</v>
      </c>
      <c r="N8" s="146">
        <f t="shared" si="1"/>
        <v>1408</v>
      </c>
      <c r="O8" s="7"/>
      <c r="P8" s="7"/>
      <c r="Q8" s="142">
        <f t="shared" si="2"/>
        <v>184800</v>
      </c>
      <c r="R8" s="156"/>
    </row>
    <row r="9" spans="2:18" x14ac:dyDescent="0.25">
      <c r="F9" s="58" t="s">
        <v>166</v>
      </c>
      <c r="G9" s="59">
        <v>4</v>
      </c>
      <c r="H9" s="59">
        <v>110</v>
      </c>
      <c r="I9" s="59" t="s">
        <v>142</v>
      </c>
      <c r="J9" s="124">
        <v>192000</v>
      </c>
      <c r="K9" s="63">
        <f t="shared" si="0"/>
        <v>768000</v>
      </c>
      <c r="L9" s="61"/>
      <c r="M9" s="67">
        <f t="shared" si="4"/>
        <v>284160</v>
      </c>
      <c r="N9" s="146">
        <f t="shared" si="1"/>
        <v>440</v>
      </c>
      <c r="O9" s="7"/>
      <c r="P9" s="125">
        <f>SUM(N3:N9)</f>
        <v>7372</v>
      </c>
      <c r="Q9" s="142">
        <f t="shared" si="2"/>
        <v>231000</v>
      </c>
      <c r="R9" s="156"/>
    </row>
    <row r="10" spans="2:18" x14ac:dyDescent="0.25">
      <c r="F10" s="109" t="s">
        <v>29</v>
      </c>
      <c r="G10" s="13">
        <f>SUM(35-(G4+G8))</f>
        <v>14</v>
      </c>
      <c r="H10" s="13">
        <v>78</v>
      </c>
      <c r="I10" s="64"/>
      <c r="J10" s="143">
        <f>SUM(H10*2100)</f>
        <v>163800</v>
      </c>
      <c r="K10" s="63"/>
      <c r="L10" s="63"/>
      <c r="M10" s="63"/>
      <c r="N10" s="10">
        <f t="shared" si="1"/>
        <v>1092</v>
      </c>
      <c r="O10" s="7"/>
      <c r="P10" s="7"/>
      <c r="Q10" s="142">
        <f t="shared" si="2"/>
        <v>163800</v>
      </c>
      <c r="R10" s="156"/>
    </row>
    <row r="11" spans="2:18" x14ac:dyDescent="0.25">
      <c r="F11" s="109" t="s">
        <v>289</v>
      </c>
      <c r="G11" s="13">
        <f>SUM(18-G9)</f>
        <v>14</v>
      </c>
      <c r="H11" s="13">
        <v>110</v>
      </c>
      <c r="I11" s="64"/>
      <c r="J11" s="143">
        <f>SUM(H11*2100)</f>
        <v>231000</v>
      </c>
      <c r="K11" s="63"/>
      <c r="L11" s="63"/>
      <c r="M11" s="63"/>
      <c r="N11" s="10">
        <f t="shared" si="1"/>
        <v>1540</v>
      </c>
      <c r="O11" s="7"/>
      <c r="P11" s="7"/>
      <c r="Q11" s="142">
        <f t="shared" si="2"/>
        <v>231000</v>
      </c>
      <c r="R11" s="156"/>
    </row>
    <row r="12" spans="2:18" x14ac:dyDescent="0.25">
      <c r="F12" s="109" t="s">
        <v>30</v>
      </c>
      <c r="G12" s="13">
        <v>52</v>
      </c>
      <c r="H12" s="13">
        <v>82</v>
      </c>
      <c r="I12" s="64"/>
      <c r="J12" s="143">
        <f t="shared" ref="J12:J16" si="5">SUM(H12*2100)</f>
        <v>172200</v>
      </c>
      <c r="K12" s="63"/>
      <c r="L12" s="63"/>
      <c r="M12" s="63"/>
      <c r="N12" s="10">
        <f t="shared" si="1"/>
        <v>4264</v>
      </c>
      <c r="O12" s="7"/>
      <c r="P12" s="7"/>
      <c r="Q12" s="142">
        <f t="shared" si="2"/>
        <v>172200</v>
      </c>
      <c r="R12" s="156"/>
    </row>
    <row r="13" spans="2:18" x14ac:dyDescent="0.25">
      <c r="F13" s="109" t="s">
        <v>31</v>
      </c>
      <c r="G13" s="13">
        <v>35</v>
      </c>
      <c r="H13" s="13">
        <v>110</v>
      </c>
      <c r="I13" s="64"/>
      <c r="J13" s="143">
        <f t="shared" si="5"/>
        <v>231000</v>
      </c>
      <c r="K13" s="63"/>
      <c r="L13" s="63"/>
      <c r="M13" s="63"/>
      <c r="N13" s="10">
        <f t="shared" si="1"/>
        <v>3850</v>
      </c>
      <c r="O13" s="7"/>
      <c r="P13" s="7"/>
      <c r="Q13" s="142">
        <f t="shared" si="2"/>
        <v>231000</v>
      </c>
      <c r="R13" s="156"/>
    </row>
    <row r="14" spans="2:18" x14ac:dyDescent="0.25">
      <c r="F14" s="109" t="s">
        <v>26</v>
      </c>
      <c r="G14" s="13">
        <v>70</v>
      </c>
      <c r="H14" s="13">
        <v>94</v>
      </c>
      <c r="I14" s="64"/>
      <c r="J14" s="143">
        <f t="shared" si="5"/>
        <v>197400</v>
      </c>
      <c r="K14" s="63"/>
      <c r="L14" s="63"/>
      <c r="M14" s="63"/>
      <c r="N14" s="10">
        <f t="shared" si="1"/>
        <v>6580</v>
      </c>
      <c r="O14" s="7"/>
      <c r="P14" s="7"/>
      <c r="Q14" s="142">
        <f t="shared" si="2"/>
        <v>197400</v>
      </c>
      <c r="R14" s="156"/>
    </row>
    <row r="15" spans="2:18" x14ac:dyDescent="0.25">
      <c r="F15" s="109" t="s">
        <v>27</v>
      </c>
      <c r="G15" s="13">
        <v>52</v>
      </c>
      <c r="H15" s="13">
        <v>120</v>
      </c>
      <c r="I15" s="64"/>
      <c r="J15" s="143">
        <f t="shared" si="5"/>
        <v>252000</v>
      </c>
      <c r="K15" s="63"/>
      <c r="L15" s="63"/>
      <c r="M15" s="63"/>
      <c r="N15" s="10">
        <f t="shared" si="1"/>
        <v>6240</v>
      </c>
      <c r="O15" s="7"/>
      <c r="P15" s="7"/>
      <c r="Q15" s="142">
        <f t="shared" si="2"/>
        <v>252000</v>
      </c>
      <c r="R15" s="156"/>
    </row>
    <row r="16" spans="2:18" x14ac:dyDescent="0.25">
      <c r="F16" s="109" t="s">
        <v>28</v>
      </c>
      <c r="G16" s="13">
        <v>8</v>
      </c>
      <c r="H16" s="13">
        <v>135</v>
      </c>
      <c r="I16" s="64"/>
      <c r="J16" s="143">
        <f t="shared" si="5"/>
        <v>283500</v>
      </c>
      <c r="K16" s="63"/>
      <c r="L16" s="63"/>
      <c r="M16" s="63"/>
      <c r="N16" s="10">
        <f t="shared" si="1"/>
        <v>1080</v>
      </c>
      <c r="O16" s="7"/>
      <c r="P16" s="7"/>
      <c r="Q16" s="142">
        <f t="shared" si="2"/>
        <v>283500</v>
      </c>
      <c r="R16" s="248"/>
    </row>
    <row r="17" spans="6:18" x14ac:dyDescent="0.25">
      <c r="F17" s="25" t="s">
        <v>3</v>
      </c>
      <c r="G17" s="17">
        <f>SUM(G3:G16)</f>
        <v>350</v>
      </c>
      <c r="H17" s="3"/>
      <c r="I17" s="111"/>
      <c r="J17" s="63"/>
      <c r="K17" s="63"/>
      <c r="L17" s="55">
        <f>SUM(L3:L4)</f>
        <v>1535100</v>
      </c>
      <c r="M17" s="98">
        <f>SUM(M5:M9)</f>
        <v>4071924</v>
      </c>
      <c r="N17" s="129">
        <f>SUM(N3:N16)</f>
        <v>32018</v>
      </c>
      <c r="O17" s="11">
        <f>SUM(N10:N16)</f>
        <v>24646</v>
      </c>
      <c r="P17" s="7"/>
      <c r="Q17" s="20"/>
      <c r="R17" s="133"/>
    </row>
    <row r="18" spans="6:18" ht="15.75" x14ac:dyDescent="0.25">
      <c r="F18" s="105" t="s">
        <v>229</v>
      </c>
      <c r="G18" s="106">
        <f>SUM(38*879)</f>
        <v>33402</v>
      </c>
      <c r="H18" s="56"/>
      <c r="I18" s="64"/>
      <c r="J18" s="63"/>
      <c r="K18" s="63"/>
      <c r="L18" s="8" t="s">
        <v>8</v>
      </c>
      <c r="M18" s="65">
        <f>SUM(L17:M17)</f>
        <v>5607024</v>
      </c>
      <c r="N18" s="7"/>
      <c r="O18" s="7"/>
      <c r="P18" s="7"/>
      <c r="Q18" s="20"/>
      <c r="R18" s="133"/>
    </row>
    <row r="19" spans="6:18" x14ac:dyDescent="0.25">
      <c r="F19" s="105" t="s">
        <v>230</v>
      </c>
      <c r="G19" s="106">
        <f>SUM(312*3075)</f>
        <v>959400</v>
      </c>
      <c r="H19" s="99"/>
      <c r="R19" s="133"/>
    </row>
    <row r="20" spans="6:18" x14ac:dyDescent="0.25">
      <c r="F20" s="107" t="s">
        <v>3</v>
      </c>
      <c r="G20" s="108">
        <f>SUM(G18:G19)</f>
        <v>992802</v>
      </c>
      <c r="H20" s="99" t="s">
        <v>180</v>
      </c>
      <c r="R20" s="133"/>
    </row>
    <row r="21" spans="6:18" x14ac:dyDescent="0.25">
      <c r="F21" s="157"/>
      <c r="G21" s="157"/>
      <c r="H21" s="157"/>
      <c r="I21" s="157"/>
      <c r="J21" s="157"/>
      <c r="K21" s="157"/>
      <c r="L21" s="245"/>
      <c r="M21" s="246"/>
      <c r="N21" s="246"/>
      <c r="O21" s="247"/>
      <c r="P21" s="133"/>
      <c r="Q21" s="133"/>
      <c r="R21" s="133"/>
    </row>
    <row r="22" spans="6:18" x14ac:dyDescent="0.25">
      <c r="F22" s="16" t="s">
        <v>56</v>
      </c>
      <c r="G22" s="21" t="s">
        <v>57</v>
      </c>
      <c r="M22" s="20"/>
    </row>
    <row r="23" spans="6:18" x14ac:dyDescent="0.25">
      <c r="F23" s="35" t="s">
        <v>229</v>
      </c>
      <c r="G23" s="36">
        <f>SUM(38*879)</f>
        <v>33402</v>
      </c>
      <c r="I23" s="30">
        <f>SUM(G23:G24)</f>
        <v>992802</v>
      </c>
      <c r="J23" t="s">
        <v>135</v>
      </c>
      <c r="M23" s="20"/>
    </row>
    <row r="24" spans="6:18" x14ac:dyDescent="0.25">
      <c r="F24" s="35" t="s">
        <v>230</v>
      </c>
      <c r="G24" s="36">
        <f>SUM(312*3075)</f>
        <v>959400</v>
      </c>
      <c r="M24" s="20"/>
    </row>
    <row r="25" spans="6:18" ht="7.5" customHeight="1" x14ac:dyDescent="0.25">
      <c r="F25" s="35"/>
      <c r="G25" s="36"/>
      <c r="M25" s="20"/>
    </row>
    <row r="26" spans="6:18" x14ac:dyDescent="0.25">
      <c r="F26" s="41" t="s">
        <v>92</v>
      </c>
      <c r="G26" s="21" t="s">
        <v>57</v>
      </c>
      <c r="I26" s="54"/>
      <c r="N26" s="21" t="s">
        <v>56</v>
      </c>
      <c r="O26" s="300" t="s">
        <v>346</v>
      </c>
      <c r="P26" s="148" t="s">
        <v>134</v>
      </c>
      <c r="Q26" s="148"/>
      <c r="R26" s="54"/>
    </row>
    <row r="27" spans="6:18" ht="15" customHeight="1" x14ac:dyDescent="0.25">
      <c r="F27" t="s">
        <v>327</v>
      </c>
      <c r="G27" s="31" t="s">
        <v>91</v>
      </c>
      <c r="N27" s="21" t="s">
        <v>56</v>
      </c>
      <c r="O27" s="54">
        <v>0</v>
      </c>
      <c r="P27" t="s">
        <v>350</v>
      </c>
      <c r="R27" s="35"/>
    </row>
    <row r="28" spans="6:18" ht="17.25" x14ac:dyDescent="0.25">
      <c r="G28" s="21"/>
      <c r="N28" s="49" t="s">
        <v>56</v>
      </c>
      <c r="O28" s="54">
        <v>0</v>
      </c>
      <c r="P28" s="35" t="s">
        <v>349</v>
      </c>
      <c r="Q28" s="35"/>
      <c r="R28" s="35"/>
    </row>
    <row r="29" spans="6:18" ht="15" customHeight="1" x14ac:dyDescent="0.25">
      <c r="F29" s="16" t="s">
        <v>72</v>
      </c>
      <c r="G29" s="21" t="s">
        <v>57</v>
      </c>
    </row>
    <row r="30" spans="6:18" x14ac:dyDescent="0.25">
      <c r="F30" t="s">
        <v>238</v>
      </c>
      <c r="G30" s="47">
        <f>350*224</f>
        <v>78400</v>
      </c>
    </row>
    <row r="31" spans="6:18" x14ac:dyDescent="0.25">
      <c r="F31" t="s">
        <v>237</v>
      </c>
      <c r="G31" s="47">
        <f>350*508</f>
        <v>177800</v>
      </c>
    </row>
    <row r="32" spans="6:18" x14ac:dyDescent="0.25">
      <c r="F32" t="s">
        <v>239</v>
      </c>
      <c r="G32" s="47">
        <v>90000</v>
      </c>
    </row>
    <row r="33" spans="6:10" x14ac:dyDescent="0.25">
      <c r="F33" s="147" t="s">
        <v>236</v>
      </c>
      <c r="G33" s="47">
        <f>131*1136</f>
        <v>148816</v>
      </c>
    </row>
    <row r="34" spans="6:10" x14ac:dyDescent="0.25">
      <c r="F34" t="s">
        <v>235</v>
      </c>
      <c r="G34" s="47">
        <v>120000</v>
      </c>
      <c r="I34" s="47">
        <f>SUM(G30:G34)</f>
        <v>615016</v>
      </c>
    </row>
    <row r="35" spans="6:10" x14ac:dyDescent="0.25">
      <c r="F35" t="s">
        <v>232</v>
      </c>
      <c r="G35" s="20">
        <v>77000</v>
      </c>
    </row>
    <row r="36" spans="6:10" x14ac:dyDescent="0.25">
      <c r="F36" s="22" t="s">
        <v>3</v>
      </c>
      <c r="G36" s="30">
        <f>SUM(G30:G35)</f>
        <v>692016</v>
      </c>
      <c r="I36" s="249">
        <f>SUM(G36/G17)</f>
        <v>1977.1885714285713</v>
      </c>
      <c r="J36" t="s">
        <v>136</v>
      </c>
    </row>
    <row r="37" spans="6:10" x14ac:dyDescent="0.25">
      <c r="G37" s="20"/>
    </row>
    <row r="38" spans="6:10" x14ac:dyDescent="0.25">
      <c r="G38" s="20"/>
    </row>
    <row r="39" spans="6:10" x14ac:dyDescent="0.25">
      <c r="G39" s="20"/>
    </row>
    <row r="40" spans="6:10" x14ac:dyDescent="0.25">
      <c r="F40" s="22"/>
      <c r="G40" s="30"/>
    </row>
  </sheetData>
  <sheetProtection selectLockedCells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4"/>
  <sheetViews>
    <sheetView topLeftCell="D1" zoomScale="110" zoomScaleNormal="110" workbookViewId="0">
      <selection activeCell="P26" sqref="P26:P27"/>
    </sheetView>
  </sheetViews>
  <sheetFormatPr defaultRowHeight="15" x14ac:dyDescent="0.25"/>
  <cols>
    <col min="1" max="1" width="5.140625" customWidth="1"/>
    <col min="2" max="2" width="26.28515625" bestFit="1" customWidth="1"/>
    <col min="3" max="3" width="5.85546875" bestFit="1" customWidth="1"/>
    <col min="5" max="5" width="5" customWidth="1"/>
    <col min="6" max="6" width="32.85546875" customWidth="1"/>
    <col min="7" max="7" width="10.140625" bestFit="1" customWidth="1"/>
    <col min="8" max="8" width="6.7109375" customWidth="1"/>
    <col min="9" max="9" width="14.85546875" bestFit="1" customWidth="1"/>
    <col min="10" max="10" width="11.28515625" customWidth="1"/>
    <col min="11" max="11" width="11.140625" customWidth="1"/>
    <col min="12" max="12" width="11.85546875" customWidth="1"/>
    <col min="13" max="13" width="12" customWidth="1"/>
    <col min="14" max="14" width="8.5703125" bestFit="1" customWidth="1"/>
    <col min="15" max="15" width="7.7109375" customWidth="1"/>
    <col min="16" max="16" width="6.5703125" customWidth="1"/>
    <col min="17" max="17" width="5.85546875" customWidth="1"/>
  </cols>
  <sheetData>
    <row r="1" spans="2:16" x14ac:dyDescent="0.25">
      <c r="B1" t="s">
        <v>189</v>
      </c>
      <c r="C1" s="29">
        <f>300*0.3</f>
        <v>90</v>
      </c>
      <c r="D1" t="s">
        <v>187</v>
      </c>
      <c r="F1" s="16" t="s">
        <v>231</v>
      </c>
    </row>
    <row r="2" spans="2:16" ht="33" customHeight="1" x14ac:dyDescent="0.25">
      <c r="B2" t="s">
        <v>185</v>
      </c>
      <c r="C2" s="168">
        <f>90*0.8</f>
        <v>72</v>
      </c>
      <c r="D2" t="s">
        <v>187</v>
      </c>
      <c r="F2" s="2" t="s">
        <v>0</v>
      </c>
      <c r="G2" s="2" t="s">
        <v>53</v>
      </c>
      <c r="H2" s="2" t="s">
        <v>161</v>
      </c>
      <c r="I2" s="2" t="s">
        <v>174</v>
      </c>
      <c r="J2" s="2" t="s">
        <v>171</v>
      </c>
      <c r="K2" s="69" t="s">
        <v>159</v>
      </c>
      <c r="L2" s="2" t="s">
        <v>184</v>
      </c>
      <c r="M2" s="2" t="s">
        <v>172</v>
      </c>
      <c r="N2" s="9" t="s">
        <v>32</v>
      </c>
      <c r="O2" s="9" t="s">
        <v>160</v>
      </c>
      <c r="P2" s="9" t="s">
        <v>192</v>
      </c>
    </row>
    <row r="3" spans="2:16" x14ac:dyDescent="0.25">
      <c r="B3" t="s">
        <v>186</v>
      </c>
      <c r="C3" s="168">
        <f>90*0.2</f>
        <v>18</v>
      </c>
      <c r="D3" t="s">
        <v>187</v>
      </c>
      <c r="F3" s="80" t="s">
        <v>162</v>
      </c>
      <c r="G3" s="59">
        <v>12</v>
      </c>
      <c r="H3" s="81">
        <v>67</v>
      </c>
      <c r="I3" s="83"/>
      <c r="J3" s="119">
        <f>SUM(H3*2300)</f>
        <v>154100</v>
      </c>
      <c r="K3" s="61">
        <f t="shared" ref="K3:K9" si="0">SUM(J3*G3)</f>
        <v>1849200</v>
      </c>
      <c r="L3" s="67">
        <f>SUM(K3*0.5)</f>
        <v>924600</v>
      </c>
      <c r="M3" s="61"/>
      <c r="N3" s="14">
        <f t="shared" ref="N3:N14" si="1">SUM(G3*H3)</f>
        <v>804</v>
      </c>
      <c r="O3" s="7"/>
      <c r="P3" s="7"/>
    </row>
    <row r="4" spans="2:16" x14ac:dyDescent="0.25">
      <c r="B4" t="s">
        <v>240</v>
      </c>
      <c r="C4" s="154"/>
      <c r="F4" s="80" t="s">
        <v>163</v>
      </c>
      <c r="G4" s="59">
        <v>6</v>
      </c>
      <c r="H4" s="81">
        <v>78</v>
      </c>
      <c r="I4" s="83"/>
      <c r="J4" s="119">
        <f>SUM(H4*2300)</f>
        <v>179400</v>
      </c>
      <c r="K4" s="61">
        <f t="shared" si="0"/>
        <v>1076400</v>
      </c>
      <c r="L4" s="67">
        <f>SUM(K4*0.5)</f>
        <v>538200</v>
      </c>
      <c r="M4" s="61"/>
      <c r="N4" s="14">
        <f t="shared" si="1"/>
        <v>468</v>
      </c>
      <c r="O4" s="7"/>
      <c r="P4" s="7"/>
    </row>
    <row r="5" spans="2:16" ht="15" customHeight="1" x14ac:dyDescent="0.25">
      <c r="F5" s="58" t="s">
        <v>164</v>
      </c>
      <c r="G5" s="59">
        <v>23</v>
      </c>
      <c r="H5" s="59">
        <v>46</v>
      </c>
      <c r="I5" s="59" t="s">
        <v>145</v>
      </c>
      <c r="J5" s="61">
        <v>101900</v>
      </c>
      <c r="K5" s="61">
        <f t="shared" si="0"/>
        <v>2343700</v>
      </c>
      <c r="L5" s="61"/>
      <c r="M5" s="67">
        <f>SUM(K5*0.37)</f>
        <v>867169</v>
      </c>
      <c r="N5" s="14">
        <f t="shared" si="1"/>
        <v>1058</v>
      </c>
      <c r="O5" s="7"/>
      <c r="P5" s="7"/>
    </row>
    <row r="6" spans="2:16" ht="15" customHeight="1" x14ac:dyDescent="0.25">
      <c r="B6" t="s">
        <v>313</v>
      </c>
      <c r="D6" s="37">
        <f>SUM(300/9.75)</f>
        <v>30.76923076923077</v>
      </c>
      <c r="F6" s="58" t="s">
        <v>165</v>
      </c>
      <c r="G6" s="59">
        <v>13</v>
      </c>
      <c r="H6" s="59">
        <v>59</v>
      </c>
      <c r="I6" s="59" t="s">
        <v>156</v>
      </c>
      <c r="J6" s="61">
        <v>126600</v>
      </c>
      <c r="K6" s="61">
        <f t="shared" si="0"/>
        <v>1645800</v>
      </c>
      <c r="L6" s="61"/>
      <c r="M6" s="67">
        <f t="shared" ref="M6:M9" si="2">SUM(K6*0.37)</f>
        <v>608946</v>
      </c>
      <c r="N6" s="14">
        <f t="shared" si="1"/>
        <v>767</v>
      </c>
      <c r="O6" s="7"/>
      <c r="P6" s="7"/>
    </row>
    <row r="7" spans="2:16" x14ac:dyDescent="0.25">
      <c r="F7" s="80" t="s">
        <v>168</v>
      </c>
      <c r="G7" s="59">
        <v>22</v>
      </c>
      <c r="H7" s="59">
        <v>83</v>
      </c>
      <c r="I7" s="59" t="s">
        <v>140</v>
      </c>
      <c r="J7" s="61">
        <v>161600</v>
      </c>
      <c r="K7" s="61">
        <f t="shared" si="0"/>
        <v>3555200</v>
      </c>
      <c r="L7" s="61"/>
      <c r="M7" s="67">
        <f t="shared" si="2"/>
        <v>1315424</v>
      </c>
      <c r="N7" s="14">
        <f t="shared" si="1"/>
        <v>1826</v>
      </c>
      <c r="O7" s="7"/>
      <c r="P7" s="7"/>
    </row>
    <row r="8" spans="2:16" x14ac:dyDescent="0.25">
      <c r="F8" s="80" t="s">
        <v>167</v>
      </c>
      <c r="G8" s="59">
        <v>11</v>
      </c>
      <c r="H8" s="59">
        <v>94</v>
      </c>
      <c r="I8" s="59" t="s">
        <v>141</v>
      </c>
      <c r="J8" s="61">
        <v>179400</v>
      </c>
      <c r="K8" s="61">
        <f t="shared" si="0"/>
        <v>1973400</v>
      </c>
      <c r="L8" s="61"/>
      <c r="M8" s="67">
        <f t="shared" si="2"/>
        <v>730158</v>
      </c>
      <c r="N8" s="14">
        <f t="shared" si="1"/>
        <v>1034</v>
      </c>
      <c r="O8" s="7"/>
      <c r="P8" s="7"/>
    </row>
    <row r="9" spans="2:16" ht="15" customHeight="1" x14ac:dyDescent="0.25">
      <c r="F9" s="58" t="s">
        <v>166</v>
      </c>
      <c r="G9" s="59">
        <v>3</v>
      </c>
      <c r="H9" s="59">
        <v>110</v>
      </c>
      <c r="I9" s="59" t="s">
        <v>142</v>
      </c>
      <c r="J9" s="61">
        <v>209000</v>
      </c>
      <c r="K9" s="61">
        <f t="shared" si="0"/>
        <v>627000</v>
      </c>
      <c r="L9" s="61"/>
      <c r="M9" s="67">
        <f t="shared" si="2"/>
        <v>231990</v>
      </c>
      <c r="N9" s="14">
        <f t="shared" si="1"/>
        <v>330</v>
      </c>
      <c r="O9" s="7"/>
      <c r="P9" s="125">
        <f>SUM(N3:N9)</f>
        <v>6287</v>
      </c>
    </row>
    <row r="10" spans="2:16" x14ac:dyDescent="0.25">
      <c r="F10" s="109" t="s">
        <v>30</v>
      </c>
      <c r="G10" s="13">
        <v>45</v>
      </c>
      <c r="H10" s="13">
        <v>82</v>
      </c>
      <c r="I10" s="3"/>
      <c r="J10" s="250">
        <f>SUM(H10*2300)</f>
        <v>188600</v>
      </c>
      <c r="K10" s="4"/>
      <c r="L10" s="4"/>
      <c r="M10" s="4"/>
      <c r="N10" s="14">
        <f t="shared" si="1"/>
        <v>3690</v>
      </c>
      <c r="O10" s="7"/>
      <c r="P10" s="7"/>
    </row>
    <row r="11" spans="2:16" x14ac:dyDescent="0.25">
      <c r="F11" s="109" t="s">
        <v>31</v>
      </c>
      <c r="G11" s="13">
        <v>30</v>
      </c>
      <c r="H11" s="13">
        <v>110</v>
      </c>
      <c r="I11" s="3"/>
      <c r="J11" s="250">
        <f t="shared" ref="J11:J14" si="3">SUM(H11*2300)</f>
        <v>253000</v>
      </c>
      <c r="K11" s="4"/>
      <c r="L11" s="4"/>
      <c r="M11" s="4"/>
      <c r="N11" s="14">
        <f t="shared" si="1"/>
        <v>3300</v>
      </c>
      <c r="O11" s="7"/>
      <c r="P11" s="7"/>
    </row>
    <row r="12" spans="2:16" x14ac:dyDescent="0.25">
      <c r="F12" s="109" t="s">
        <v>26</v>
      </c>
      <c r="G12" s="13">
        <v>60</v>
      </c>
      <c r="H12" s="13">
        <v>94</v>
      </c>
      <c r="I12" s="3"/>
      <c r="J12" s="250">
        <f t="shared" si="3"/>
        <v>216200</v>
      </c>
      <c r="K12" s="4"/>
      <c r="L12" s="4"/>
      <c r="M12" s="4"/>
      <c r="N12" s="14">
        <f t="shared" si="1"/>
        <v>5640</v>
      </c>
      <c r="O12" s="7"/>
      <c r="P12" s="7"/>
    </row>
    <row r="13" spans="2:16" x14ac:dyDescent="0.25">
      <c r="F13" s="109" t="s">
        <v>27</v>
      </c>
      <c r="G13" s="13">
        <v>60</v>
      </c>
      <c r="H13" s="13">
        <v>120</v>
      </c>
      <c r="I13" s="3"/>
      <c r="J13" s="250">
        <f t="shared" si="3"/>
        <v>276000</v>
      </c>
      <c r="K13" s="4"/>
      <c r="L13" s="4"/>
      <c r="M13" s="4"/>
      <c r="N13" s="14">
        <f t="shared" si="1"/>
        <v>7200</v>
      </c>
      <c r="O13" s="7"/>
      <c r="P13" s="7"/>
    </row>
    <row r="14" spans="2:16" x14ac:dyDescent="0.25">
      <c r="F14" s="109" t="s">
        <v>28</v>
      </c>
      <c r="G14" s="13">
        <v>15</v>
      </c>
      <c r="H14" s="13">
        <v>135</v>
      </c>
      <c r="I14" s="3"/>
      <c r="J14" s="250">
        <f t="shared" si="3"/>
        <v>310500</v>
      </c>
      <c r="K14" s="4"/>
      <c r="L14" s="4"/>
      <c r="M14" s="4"/>
      <c r="N14" s="14">
        <f t="shared" si="1"/>
        <v>2025</v>
      </c>
      <c r="O14" s="7"/>
      <c r="P14" s="7"/>
    </row>
    <row r="15" spans="2:16" x14ac:dyDescent="0.25">
      <c r="F15" s="25" t="s">
        <v>3</v>
      </c>
      <c r="G15" s="17">
        <f>SUM(G3:G14)</f>
        <v>300</v>
      </c>
      <c r="H15" s="3"/>
      <c r="I15" s="13"/>
      <c r="J15" s="33"/>
      <c r="K15" s="33"/>
      <c r="L15" s="55">
        <f>SUM(L3:L4)</f>
        <v>1462800</v>
      </c>
      <c r="M15" s="55">
        <f>SUM(M5:M9)</f>
        <v>3753687</v>
      </c>
      <c r="N15" s="128">
        <f>SUM(N3:N14)</f>
        <v>28142</v>
      </c>
      <c r="O15" s="11">
        <f>SUM(N10:N14)</f>
        <v>21855</v>
      </c>
      <c r="P15" s="7"/>
    </row>
    <row r="16" spans="2:16" ht="15.75" x14ac:dyDescent="0.25">
      <c r="F16" s="105" t="s">
        <v>182</v>
      </c>
      <c r="G16" s="106">
        <f>SUM(36*879)</f>
        <v>31644</v>
      </c>
      <c r="H16" s="56"/>
      <c r="I16" s="3"/>
      <c r="J16" s="33"/>
      <c r="K16" s="33"/>
      <c r="L16" s="57" t="s">
        <v>8</v>
      </c>
      <c r="M16" s="86">
        <f>SUM(L15:M15)</f>
        <v>5216487</v>
      </c>
      <c r="N16" s="13"/>
      <c r="O16" s="7"/>
      <c r="P16" s="7"/>
    </row>
    <row r="17" spans="6:18" x14ac:dyDescent="0.25">
      <c r="F17" s="105" t="s">
        <v>193</v>
      </c>
      <c r="G17" s="106">
        <f>SUM(264*3075)</f>
        <v>811800</v>
      </c>
      <c r="H17" s="99"/>
    </row>
    <row r="18" spans="6:18" x14ac:dyDescent="0.25">
      <c r="F18" s="107" t="s">
        <v>3</v>
      </c>
      <c r="G18" s="108">
        <f>SUM(G16:G17)</f>
        <v>843444</v>
      </c>
      <c r="H18" s="99" t="s">
        <v>180</v>
      </c>
      <c r="M18" s="126"/>
      <c r="N18" s="127"/>
    </row>
    <row r="19" spans="6:18" ht="15" customHeight="1" x14ac:dyDescent="0.25"/>
    <row r="20" spans="6:18" x14ac:dyDescent="0.25">
      <c r="F20" s="16" t="s">
        <v>56</v>
      </c>
      <c r="G20" s="21" t="s">
        <v>57</v>
      </c>
    </row>
    <row r="21" spans="6:18" x14ac:dyDescent="0.25">
      <c r="F21" s="35" t="s">
        <v>311</v>
      </c>
      <c r="G21" s="36">
        <f>SUM(39*879)</f>
        <v>34281</v>
      </c>
      <c r="I21" s="54">
        <f>SUM(G21:G22)</f>
        <v>836856</v>
      </c>
      <c r="J21" t="s">
        <v>138</v>
      </c>
    </row>
    <row r="22" spans="6:18" x14ac:dyDescent="0.25">
      <c r="F22" s="35" t="s">
        <v>312</v>
      </c>
      <c r="G22" s="36">
        <f>SUM(261*3075)</f>
        <v>802575</v>
      </c>
      <c r="I22" s="54"/>
    </row>
    <row r="23" spans="6:18" ht="7.5" customHeight="1" x14ac:dyDescent="0.25">
      <c r="F23" s="35"/>
      <c r="G23" s="36"/>
      <c r="I23" s="54"/>
    </row>
    <row r="24" spans="6:18" x14ac:dyDescent="0.25">
      <c r="F24" t="s">
        <v>73</v>
      </c>
      <c r="G24" s="34">
        <v>268000</v>
      </c>
    </row>
    <row r="25" spans="6:18" x14ac:dyDescent="0.25">
      <c r="F25" s="22" t="s">
        <v>3</v>
      </c>
      <c r="G25" s="30">
        <f>SUM(G22:G24)</f>
        <v>1070575</v>
      </c>
      <c r="I25" s="53"/>
      <c r="N25" s="21" t="s">
        <v>56</v>
      </c>
      <c r="O25" s="54">
        <f>SUM((G25-I21)/N15)</f>
        <v>8.3049889844360738</v>
      </c>
      <c r="P25" t="s">
        <v>134</v>
      </c>
    </row>
    <row r="26" spans="6:18" ht="17.25" x14ac:dyDescent="0.25">
      <c r="N26" s="21" t="s">
        <v>56</v>
      </c>
      <c r="O26" s="54">
        <v>0</v>
      </c>
      <c r="P26" t="s">
        <v>350</v>
      </c>
      <c r="R26" s="35"/>
    </row>
    <row r="27" spans="6:18" ht="17.25" x14ac:dyDescent="0.25">
      <c r="F27" s="16" t="s">
        <v>72</v>
      </c>
      <c r="G27" s="21" t="s">
        <v>57</v>
      </c>
      <c r="N27" s="49" t="s">
        <v>56</v>
      </c>
      <c r="O27" s="54">
        <v>0</v>
      </c>
      <c r="P27" s="35" t="s">
        <v>349</v>
      </c>
      <c r="Q27" s="35"/>
      <c r="R27" s="35"/>
    </row>
    <row r="28" spans="6:18" x14ac:dyDescent="0.25">
      <c r="F28" t="s">
        <v>218</v>
      </c>
      <c r="G28" s="20">
        <f>300*224</f>
        <v>67200</v>
      </c>
      <c r="I28" s="54">
        <f>SUM(G28:G30)</f>
        <v>560400</v>
      </c>
      <c r="J28" t="s">
        <v>139</v>
      </c>
    </row>
    <row r="29" spans="6:18" x14ac:dyDescent="0.25">
      <c r="F29" t="s">
        <v>216</v>
      </c>
      <c r="G29" s="20">
        <f>300*508</f>
        <v>152400</v>
      </c>
    </row>
    <row r="30" spans="6:18" x14ac:dyDescent="0.25">
      <c r="F30" t="s">
        <v>217</v>
      </c>
      <c r="G30" s="20">
        <f>300*1136</f>
        <v>340800</v>
      </c>
    </row>
    <row r="31" spans="6:18" x14ac:dyDescent="0.25">
      <c r="F31" t="s">
        <v>74</v>
      </c>
      <c r="G31" s="20">
        <v>623100</v>
      </c>
    </row>
    <row r="32" spans="6:18" x14ac:dyDescent="0.25">
      <c r="F32" s="22" t="s">
        <v>3</v>
      </c>
      <c r="G32" s="30">
        <f>SUM(G28:G31)</f>
        <v>1183500</v>
      </c>
      <c r="I32" s="54">
        <f>SUM(G32/G15)</f>
        <v>3945</v>
      </c>
      <c r="J32" t="s">
        <v>136</v>
      </c>
    </row>
    <row r="34" spans="6:9" x14ac:dyDescent="0.25">
      <c r="F34" s="16"/>
      <c r="G34" s="21"/>
    </row>
    <row r="35" spans="6:9" x14ac:dyDescent="0.25">
      <c r="G35" s="20"/>
      <c r="I35" s="54"/>
    </row>
    <row r="36" spans="6:9" x14ac:dyDescent="0.25">
      <c r="G36" s="20"/>
    </row>
    <row r="37" spans="6:9" x14ac:dyDescent="0.25">
      <c r="G37" s="20"/>
    </row>
    <row r="38" spans="6:9" x14ac:dyDescent="0.25">
      <c r="G38" s="20"/>
    </row>
    <row r="39" spans="6:9" x14ac:dyDescent="0.25">
      <c r="F39" s="22"/>
      <c r="G39" s="30"/>
    </row>
    <row r="54" spans="19:19" x14ac:dyDescent="0.25">
      <c r="S54" s="1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Garn-yr-Erw</vt:lpstr>
      <vt:lpstr>Hillside School</vt:lpstr>
      <vt:lpstr>Old Co-op</vt:lpstr>
      <vt:lpstr>Animal Pound</vt:lpstr>
      <vt:lpstr>Mamhilad - 1700</vt:lpstr>
      <vt:lpstr>Mamhilad - 1100</vt:lpstr>
      <vt:lpstr>South Sebastopol</vt:lpstr>
      <vt:lpstr>Police College</vt:lpstr>
      <vt:lpstr>Llanfrechfa Grange</vt:lpstr>
      <vt:lpstr>County Hall Police HQ</vt:lpstr>
      <vt:lpstr>Canalside</vt:lpstr>
    </vt:vector>
  </TitlesOfParts>
  <Company>Torfaen County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Wilcock</dc:creator>
  <cp:lastModifiedBy>Wilcock Adrian</cp:lastModifiedBy>
  <cp:lastPrinted>2016-05-24T09:20:18Z</cp:lastPrinted>
  <dcterms:created xsi:type="dcterms:W3CDTF">2015-04-07T15:08:50Z</dcterms:created>
  <dcterms:modified xsi:type="dcterms:W3CDTF">2016-10-24T16:59:08Z</dcterms:modified>
</cp:coreProperties>
</file>